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35" windowWidth="24915" windowHeight="12090" activeTab="0"/>
  </bookViews>
  <sheets>
    <sheet name="Start Here" sheetId="17" r:id="rId1"/>
    <sheet name="TB" sheetId="12" r:id="rId2"/>
    <sheet name="Map" sheetId="11" r:id="rId3"/>
    <sheet name="Assets" sheetId="13" r:id="rId4"/>
    <sheet name="Liabilities" sheetId="14" r:id="rId5"/>
    <sheet name="PL" sheetId="15" r:id="rId6"/>
    <sheet name="ErrorCk" sheetId="18" r:id="rId7"/>
  </sheets>
  <definedNames>
    <definedName name="date_cy">'Start Here'!$C$9</definedName>
    <definedName name="date_py">'Start Here'!$C$10</definedName>
    <definedName name="date_ye">'Start Here'!$C$5</definedName>
  </definedNames>
  <calcPr calcId="152511"/>
</workbook>
</file>

<file path=xl/sharedStrings.xml><?xml version="1.0" encoding="utf-8"?>
<sst xmlns="http://schemas.openxmlformats.org/spreadsheetml/2006/main" count="388" uniqueCount="144">
  <si>
    <t>Click Consulting</t>
  </si>
  <si>
    <t>Purpose</t>
  </si>
  <si>
    <t>Amount</t>
  </si>
  <si>
    <t>Checking</t>
  </si>
  <si>
    <t>Savings</t>
  </si>
  <si>
    <t>Prepaid Expenses</t>
  </si>
  <si>
    <t>Cash</t>
  </si>
  <si>
    <t>Data</t>
  </si>
  <si>
    <t>Account</t>
  </si>
  <si>
    <t>Map</t>
  </si>
  <si>
    <t>Inventory</t>
  </si>
  <si>
    <t>PerTB</t>
  </si>
  <si>
    <t>PerBSheet</t>
  </si>
  <si>
    <t>PerPL</t>
  </si>
  <si>
    <t>CurrentYear</t>
  </si>
  <si>
    <t>PriorYear</t>
  </si>
  <si>
    <t>Cash Expenditures</t>
  </si>
  <si>
    <t>Accounts Receivable</t>
  </si>
  <si>
    <t>Prepaid Insurance</t>
  </si>
  <si>
    <t>Employee advances</t>
  </si>
  <si>
    <t>Inventory Asset</t>
  </si>
  <si>
    <t>Undeposited Funds</t>
  </si>
  <si>
    <t>Other Current Assets</t>
  </si>
  <si>
    <t>Truck:Accumulated Depreciation</t>
  </si>
  <si>
    <t>Less - Accumulated Depreciation</t>
  </si>
  <si>
    <t>Truck:Original Purchase</t>
  </si>
  <si>
    <t>Vechicles and Equipment</t>
  </si>
  <si>
    <t>Accounts Payable</t>
  </si>
  <si>
    <t>CalOil Card</t>
  </si>
  <si>
    <t>QuickBooks Credit Card:QBCC Field Office</t>
  </si>
  <si>
    <t>QuickBooks Credit Card:QBCC Home Office</t>
  </si>
  <si>
    <t>Payroll Liabilities</t>
  </si>
  <si>
    <t>Accrued Expenses</t>
  </si>
  <si>
    <t>Payments on Account</t>
  </si>
  <si>
    <t>Sales Tax Payable</t>
  </si>
  <si>
    <t>Bank of Anycity Loan</t>
  </si>
  <si>
    <t>Short Term Loans</t>
  </si>
  <si>
    <t>Equipment Loan</t>
  </si>
  <si>
    <t>Bank Loan</t>
  </si>
  <si>
    <t>Opening Bal Equity</t>
  </si>
  <si>
    <t>Opening Balance Equity</t>
  </si>
  <si>
    <t>Owner's Equity:Owner's Draw</t>
  </si>
  <si>
    <t>Owner's Equity</t>
  </si>
  <si>
    <t>Retained Earnings</t>
  </si>
  <si>
    <t>Landscaping Services:Design Services</t>
  </si>
  <si>
    <t>Net Income</t>
  </si>
  <si>
    <t>Landscaping</t>
  </si>
  <si>
    <t>Landscaping Services:Job Materials:Misc Materials</t>
  </si>
  <si>
    <t>Landscaping Services:Job Materials:Decks &amp; Patios</t>
  </si>
  <si>
    <t>Landscaping Services:Job Materials:Fountains &amp; Garden Lighting</t>
  </si>
  <si>
    <t>Landscaping Services:Job Materials:Plants and Sod</t>
  </si>
  <si>
    <t>Landscaping Services:Job Materials:Sprinklers &amp; Drip systems</t>
  </si>
  <si>
    <t>Landscaping Services:Labor:Installation</t>
  </si>
  <si>
    <t>Landscaping Services:Labor:Maintenance &amp; Repairs</t>
  </si>
  <si>
    <t>Markup Income</t>
  </si>
  <si>
    <t>Other Services</t>
  </si>
  <si>
    <t>Retail Sales</t>
  </si>
  <si>
    <t>Service</t>
  </si>
  <si>
    <t>Cost of Goods Sold</t>
  </si>
  <si>
    <t>Payroll Expenses</t>
  </si>
  <si>
    <t>Payroll</t>
  </si>
  <si>
    <t>Automobile:Insurance</t>
  </si>
  <si>
    <t>Automobile</t>
  </si>
  <si>
    <t>Automobile:Fuel</t>
  </si>
  <si>
    <t>Automobile:Maintenance &amp; Repairs</t>
  </si>
  <si>
    <t>Bank Service Charges</t>
  </si>
  <si>
    <t>Bank fees</t>
  </si>
  <si>
    <t>Delivery Fee</t>
  </si>
  <si>
    <t>Insurance</t>
  </si>
  <si>
    <t>Insurance:Disability</t>
  </si>
  <si>
    <t>Insurance:Liability</t>
  </si>
  <si>
    <t>Insurance:Worker's Comp</t>
  </si>
  <si>
    <t>Interest Expense</t>
  </si>
  <si>
    <t>Interest</t>
  </si>
  <si>
    <t>Job Expenses:Job Materials:Decks &amp; Patio</t>
  </si>
  <si>
    <t>Job Expenses</t>
  </si>
  <si>
    <t>Job Expenses:Job Materials:Fountains &amp; Garden Lighting</t>
  </si>
  <si>
    <t>Job Expenses:Job Materials:Plants &amp; Sod</t>
  </si>
  <si>
    <t>Job Expenses:Permits</t>
  </si>
  <si>
    <t>Job Expenses:Subcontractors</t>
  </si>
  <si>
    <t>Mileage Reimbursement</t>
  </si>
  <si>
    <t>Professional Fees:Legal</t>
  </si>
  <si>
    <t>Professional</t>
  </si>
  <si>
    <t>Rent</t>
  </si>
  <si>
    <t>Repairs:Equipment Repairs</t>
  </si>
  <si>
    <t>Other expenses</t>
  </si>
  <si>
    <t>Tools and Misc. Equipment</t>
  </si>
  <si>
    <t>Uncategorized Expenses</t>
  </si>
  <si>
    <t>Utilities:Gas and Electric</t>
  </si>
  <si>
    <t>Utilities:Telephone</t>
  </si>
  <si>
    <t>Utilities:Water</t>
  </si>
  <si>
    <t>Misc Income</t>
  </si>
  <si>
    <t>Interest Income</t>
  </si>
  <si>
    <t>Trial Balance</t>
  </si>
  <si>
    <t>To store the trial balance</t>
  </si>
  <si>
    <t>TB</t>
  </si>
  <si>
    <t>Period</t>
  </si>
  <si>
    <t>Balance Sheet</t>
  </si>
  <si>
    <t>ASSETS</t>
  </si>
  <si>
    <t>CURRENT ASSETS:</t>
  </si>
  <si>
    <t>Total Current Assets</t>
  </si>
  <si>
    <t>PROPERTY AND EQUIPMENT, at cost:</t>
  </si>
  <si>
    <t>Total Property and Equipment</t>
  </si>
  <si>
    <t>Total Assets</t>
  </si>
  <si>
    <t/>
  </si>
  <si>
    <t>LIABILITIES AND SHAREHOLDERS' EQUITY</t>
  </si>
  <si>
    <t>CURRENT LIABILITIES:</t>
  </si>
  <si>
    <t>Total Current Liabilities</t>
  </si>
  <si>
    <t>SHAREHOLDERS' EQUITY:</t>
  </si>
  <si>
    <t>Total Shareholders' Equity</t>
  </si>
  <si>
    <t>Total Liabilities and Shareholders' Equity</t>
  </si>
  <si>
    <t>Income Statement</t>
  </si>
  <si>
    <t>INCOME:</t>
  </si>
  <si>
    <t>Other services</t>
  </si>
  <si>
    <t>Total Income</t>
  </si>
  <si>
    <t>COST OF GOODS SOLD:</t>
  </si>
  <si>
    <t>Total Cost of Goods Sold</t>
  </si>
  <si>
    <t>Gross Profit</t>
  </si>
  <si>
    <t>OPERATING EXPENSES:</t>
  </si>
  <si>
    <t>Total Operating Expenses</t>
  </si>
  <si>
    <t>Settings</t>
  </si>
  <si>
    <t>YE Date</t>
  </si>
  <si>
    <t>Calculated Settings</t>
  </si>
  <si>
    <t>Current Year</t>
  </si>
  <si>
    <t>Prior Year</t>
  </si>
  <si>
    <t>West Electronics</t>
  </si>
  <si>
    <t>ErrorCk</t>
  </si>
  <si>
    <t>To check for potential errors</t>
  </si>
  <si>
    <t>Overview</t>
  </si>
  <si>
    <t>Tests</t>
  </si>
  <si>
    <t>All tests pass?</t>
  </si>
  <si>
    <t>Start Here</t>
  </si>
  <si>
    <t>Do Assets = Liabilities/Equity?</t>
  </si>
  <si>
    <t>Total Liabilities and Equity</t>
  </si>
  <si>
    <t>Diff</t>
  </si>
  <si>
    <t>Do debits = credits?</t>
  </si>
  <si>
    <t>Debits</t>
  </si>
  <si>
    <t>Credits</t>
  </si>
  <si>
    <t>Does Net Income on PL = NI on Bsheet?</t>
  </si>
  <si>
    <t>Per P&amp;L</t>
  </si>
  <si>
    <t>Per Bsheet</t>
  </si>
  <si>
    <t>CY</t>
  </si>
  <si>
    <t>PY</t>
  </si>
  <si>
    <t>To map trial balance accounts to financial statements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</si>
</sst>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177" formatCode="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u val="single"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1" applyNumberFormat="0" applyAlignment="0" applyProtection="0"/>
    <xf numFmtId="0" fontId="6" fillId="3" borderId="1" applyNumberFormat="0" applyAlignment="0" applyProtection="0"/>
    <xf numFmtId="0" fontId="7" fillId="0" borderId="0">
      <alignment/>
      <protection/>
    </xf>
  </cellStyleXfs>
  <cellXfs count="32">
    <xf numFmtId="0" fontId="0" fillId="0" borderId="0" xfId="0"/>
    <xf numFmtId="0" fontId="3" fillId="0" borderId="2" xfId="0" applyFont="1" applyBorder="1"/>
    <xf numFmtId="0" fontId="0" fillId="0" borderId="2" xfId="0" applyBorder="1"/>
    <xf numFmtId="0" fontId="4" fillId="0" borderId="0" xfId="0" applyFont="1"/>
    <xf numFmtId="0" fontId="2" fillId="0" borderId="0" xfId="0" applyFont="1"/>
    <xf numFmtId="0" fontId="2" fillId="0" borderId="3" xfId="0" applyFont="1" applyBorder="1" applyAlignment="1">
      <alignment horizontal="center"/>
    </xf>
    <xf numFmtId="0" fontId="3" fillId="0" borderId="2" xfId="22" applyFont="1" applyBorder="1">
      <alignment/>
      <protection/>
    </xf>
    <xf numFmtId="0" fontId="7" fillId="0" borderId="2" xfId="22" applyBorder="1">
      <alignment/>
      <protection/>
    </xf>
    <xf numFmtId="0" fontId="7" fillId="0" borderId="0" xfId="22">
      <alignment/>
      <protection/>
    </xf>
    <xf numFmtId="0" fontId="4" fillId="0" borderId="0" xfId="22" applyFont="1">
      <alignment/>
      <protection/>
    </xf>
    <xf numFmtId="0" fontId="8" fillId="0" borderId="0" xfId="22" applyFont="1">
      <alignment/>
      <protection/>
    </xf>
    <xf numFmtId="4" fontId="7" fillId="0" borderId="0" xfId="22" applyNumberFormat="1">
      <alignment/>
      <protection/>
    </xf>
    <xf numFmtId="0" fontId="9" fillId="0" borderId="0" xfId="22" applyFont="1" applyAlignment="1">
      <alignment horizontal="center"/>
      <protection/>
    </xf>
    <xf numFmtId="0" fontId="10" fillId="0" borderId="0" xfId="22" applyFont="1" applyAlignment="1">
      <alignment horizontal="center"/>
      <protection/>
    </xf>
    <xf numFmtId="0" fontId="11" fillId="0" borderId="0" xfId="22" applyFont="1" applyAlignment="1">
      <alignment horizontal="center" vertical="center"/>
      <protection/>
    </xf>
    <xf numFmtId="0" fontId="7" fillId="0" borderId="3" xfId="22" applyFont="1" applyBorder="1" applyAlignment="1">
      <alignment horizontal="center"/>
      <protection/>
    </xf>
    <xf numFmtId="0" fontId="7" fillId="0" borderId="0" xfId="22" applyFont="1" applyAlignment="1">
      <alignment vertical="center"/>
      <protection/>
    </xf>
    <xf numFmtId="0" fontId="7" fillId="0" borderId="0" xfId="22" applyAlignment="1">
      <alignment horizontal="left" indent="1"/>
      <protection/>
    </xf>
    <xf numFmtId="42" fontId="7" fillId="0" borderId="0" xfId="22" applyNumberFormat="1">
      <alignment/>
      <protection/>
    </xf>
    <xf numFmtId="41" fontId="7" fillId="0" borderId="0" xfId="22" applyNumberFormat="1">
      <alignment/>
      <protection/>
    </xf>
    <xf numFmtId="41" fontId="7" fillId="0" borderId="3" xfId="22" applyNumberFormat="1" applyBorder="1">
      <alignment/>
      <protection/>
    </xf>
    <xf numFmtId="0" fontId="7" fillId="0" borderId="0" xfId="22" applyAlignment="1">
      <alignment horizontal="left" indent="2"/>
      <protection/>
    </xf>
    <xf numFmtId="0" fontId="7" fillId="0" borderId="0" xfId="22" quotePrefix="1">
      <alignment/>
      <protection/>
    </xf>
    <xf numFmtId="42" fontId="7" fillId="0" borderId="4" xfId="22" applyNumberFormat="1" applyBorder="1">
      <alignment/>
      <protection/>
    </xf>
    <xf numFmtId="0" fontId="7" fillId="0" borderId="0" xfId="22" applyAlignment="1">
      <alignment horizontal="left"/>
      <protection/>
    </xf>
    <xf numFmtId="14" fontId="5" fillId="2" borderId="1" xfId="20" applyNumberFormat="1"/>
    <xf numFmtId="0" fontId="6" fillId="3" borderId="1" xfId="21"/>
    <xf numFmtId="0" fontId="0" fillId="0" borderId="3" xfId="0" applyBorder="1"/>
    <xf numFmtId="42" fontId="0" fillId="0" borderId="0" xfId="0" applyNumberFormat="1"/>
    <xf numFmtId="42" fontId="0" fillId="0" borderId="3" xfId="0" applyNumberFormat="1" applyBorder="1"/>
    <xf numFmtId="41" fontId="0" fillId="0" borderId="0" xfId="0" applyNumberFormat="1"/>
    <xf numFmtId="0" fontId="7" fillId="0" borderId="0" xfId="22" applyAlignment="1">
      <alignment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nput" xfId="20"/>
    <cellStyle name="Calculation" xfId="21"/>
    <cellStyle name="Normal 2" xfId="22"/>
  </cellStyles>
  <dxfs count="4">
    <dxf>
      <font>
        <color rgb="FF00B05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/>
    </dxf>
    <dxf>
      <numFmt numFmtId="177" formatCode="#,##0.00"/>
    </dxf>
    <dxf>
      <numFmt numFmtId="177" formatCode="#,##0.0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7" name="tbl_tb" displayName="tbl_tb" ref="C8:E132" totalsRowShown="0">
  <autoFilter ref="C8:E132"/>
  <tableColumns count="3">
    <tableColumn id="1" name="Account"/>
    <tableColumn id="2" name="Period"/>
    <tableColumn id="3" name="Amou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bl_map" displayName="tbl_map" ref="B9:F71" totalsRowShown="0">
  <autoFilter ref="B9:F71"/>
  <tableColumns count="5">
    <tableColumn id="1" name="PerTB"/>
    <tableColumn id="2" name="PerBSheet"/>
    <tableColumn id="3" name="PerPL"/>
    <tableColumn id="4" name="CurrentYear" dataDxfId="3">
      <calculatedColumnFormula>SUMIFS(tbl_tb[Amount],tbl_tb[Period],date_cy,tbl_tb[Account],tbl_map[[#This Row],[PerTB]])</calculatedColumnFormula>
    </tableColumn>
    <tableColumn id="5" name="PriorYear" dataDxfId="2">
      <calculatedColumnFormula>SUMIFS(tbl_tb[Amount],tbl_tb[Period],date_py,tbl_tb[Account],tbl_map[[#This Row],[PerTB]])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 topLeftCell="A1"/>
  </sheetViews>
  <sheetFormatPr defaultColWidth="9.140625" defaultRowHeight="15"/>
  <cols>
    <col min="2" max="2" width="12.00390625" style="0" customWidth="1"/>
    <col min="3" max="3" width="15.8515625" style="0" customWidth="1"/>
  </cols>
  <sheetData>
    <row r="1" spans="1:8" ht="24" thickBot="1">
      <c r="A1" s="1" t="s">
        <v>131</v>
      </c>
      <c r="B1" s="2"/>
      <c r="C1" s="2"/>
      <c r="D1" s="2"/>
      <c r="E1" s="2"/>
      <c r="F1" s="2"/>
      <c r="G1" s="2"/>
      <c r="H1" s="2"/>
    </row>
    <row r="2" ht="18.75">
      <c r="A2" s="3" t="s">
        <v>0</v>
      </c>
    </row>
    <row r="4" ht="15">
      <c r="A4" s="4" t="s">
        <v>120</v>
      </c>
    </row>
    <row r="5" spans="2:3" ht="15">
      <c r="B5" t="s">
        <v>121</v>
      </c>
      <c r="C5" s="25">
        <v>41639</v>
      </c>
    </row>
    <row r="8" ht="15">
      <c r="A8" s="4" t="s">
        <v>122</v>
      </c>
    </row>
    <row r="9" spans="2:3" ht="15">
      <c r="B9" t="s">
        <v>123</v>
      </c>
      <c r="C9" s="26">
        <f>YEAR(date_ye)</f>
        <v>2013</v>
      </c>
    </row>
    <row r="10" spans="2:3" ht="15">
      <c r="B10" t="s">
        <v>124</v>
      </c>
      <c r="C10" s="26">
        <f>C9-1</f>
        <v>2012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workbookViewId="0" topLeftCell="A1"/>
  </sheetViews>
  <sheetFormatPr defaultColWidth="9.140625" defaultRowHeight="15"/>
  <cols>
    <col min="1" max="2" width="9.140625" style="8" customWidth="1"/>
    <col min="3" max="3" width="23.57421875" style="8" customWidth="1"/>
    <col min="4" max="4" width="13.8515625" style="8" customWidth="1"/>
    <col min="5" max="5" width="10.140625" style="8" customWidth="1"/>
    <col min="6" max="16384" width="9.140625" style="8" customWidth="1"/>
  </cols>
  <sheetData>
    <row r="1" spans="1:8" ht="24" thickBot="1">
      <c r="A1" s="6" t="s">
        <v>93</v>
      </c>
      <c r="B1" s="7"/>
      <c r="C1" s="7"/>
      <c r="D1" s="7"/>
      <c r="E1" s="7"/>
      <c r="F1" s="7"/>
      <c r="G1" s="7"/>
      <c r="H1" s="7"/>
    </row>
    <row r="2" ht="18.75">
      <c r="A2" s="9" t="s">
        <v>0</v>
      </c>
    </row>
    <row r="4" spans="1:2" ht="15">
      <c r="A4" s="10" t="s">
        <v>1</v>
      </c>
      <c r="B4" s="8" t="s">
        <v>94</v>
      </c>
    </row>
    <row r="6" ht="15">
      <c r="A6" s="10" t="s">
        <v>95</v>
      </c>
    </row>
    <row r="8" spans="3:5" ht="15">
      <c r="C8" s="8" t="s">
        <v>8</v>
      </c>
      <c r="D8" s="8" t="s">
        <v>96</v>
      </c>
      <c r="E8" s="8" t="s">
        <v>2</v>
      </c>
    </row>
    <row r="9" spans="3:5" ht="15">
      <c r="C9" s="8" t="s">
        <v>3</v>
      </c>
      <c r="D9" s="31">
        <v>2012</v>
      </c>
      <c r="E9" s="8">
        <v>198261.47</v>
      </c>
    </row>
    <row r="10" spans="3:5" ht="15">
      <c r="C10" s="8" t="s">
        <v>16</v>
      </c>
      <c r="D10" s="31">
        <v>2012</v>
      </c>
      <c r="E10" s="8">
        <v>0</v>
      </c>
    </row>
    <row r="11" spans="3:5" ht="15">
      <c r="C11" s="8" t="s">
        <v>4</v>
      </c>
      <c r="D11" s="31">
        <v>2012</v>
      </c>
      <c r="E11" s="8">
        <v>20577.5</v>
      </c>
    </row>
    <row r="12" spans="3:5" ht="15">
      <c r="C12" s="8" t="s">
        <v>17</v>
      </c>
      <c r="D12" s="31">
        <v>2012</v>
      </c>
      <c r="E12" s="8">
        <v>3583.04</v>
      </c>
    </row>
    <row r="13" spans="3:5" ht="15">
      <c r="C13" s="8" t="s">
        <v>18</v>
      </c>
      <c r="D13" s="31">
        <v>2012</v>
      </c>
      <c r="E13" s="8">
        <v>0</v>
      </c>
    </row>
    <row r="14" spans="3:5" ht="15">
      <c r="C14" s="8" t="s">
        <v>19</v>
      </c>
      <c r="D14" s="31">
        <v>2012</v>
      </c>
      <c r="E14" s="8">
        <v>0</v>
      </c>
    </row>
    <row r="15" spans="3:5" ht="15">
      <c r="C15" s="8" t="s">
        <v>20</v>
      </c>
      <c r="D15" s="31">
        <v>2012</v>
      </c>
      <c r="E15" s="8">
        <v>2163.9</v>
      </c>
    </row>
    <row r="16" spans="3:5" ht="15">
      <c r="C16" s="8" t="s">
        <v>21</v>
      </c>
      <c r="D16" s="31">
        <v>2012</v>
      </c>
      <c r="E16" s="8">
        <v>0</v>
      </c>
    </row>
    <row r="17" spans="3:5" ht="15">
      <c r="C17" s="8" t="s">
        <v>23</v>
      </c>
      <c r="D17" s="31">
        <v>2012</v>
      </c>
      <c r="E17" s="8">
        <v>-1150</v>
      </c>
    </row>
    <row r="18" spans="3:5" ht="15">
      <c r="C18" s="8" t="s">
        <v>25</v>
      </c>
      <c r="D18" s="31">
        <v>2012</v>
      </c>
      <c r="E18" s="8">
        <v>13750</v>
      </c>
    </row>
    <row r="19" spans="3:5" ht="15">
      <c r="C19" s="8" t="s">
        <v>27</v>
      </c>
      <c r="D19" s="31">
        <v>2012</v>
      </c>
      <c r="E19" s="8">
        <v>-3263.28</v>
      </c>
    </row>
    <row r="20" spans="3:5" ht="15">
      <c r="C20" s="8" t="s">
        <v>28</v>
      </c>
      <c r="D20" s="31">
        <v>2012</v>
      </c>
      <c r="E20" s="8">
        <v>-428.74</v>
      </c>
    </row>
    <row r="21" spans="3:5" ht="15">
      <c r="C21" s="8" t="s">
        <v>29</v>
      </c>
      <c r="D21" s="31">
        <v>2012</v>
      </c>
      <c r="E21" s="8">
        <v>0</v>
      </c>
    </row>
    <row r="22" spans="3:5" ht="15">
      <c r="C22" s="8" t="s">
        <v>30</v>
      </c>
      <c r="D22" s="31">
        <v>2012</v>
      </c>
      <c r="E22" s="8">
        <v>0</v>
      </c>
    </row>
    <row r="23" spans="3:5" ht="15">
      <c r="C23" s="8" t="s">
        <v>31</v>
      </c>
      <c r="D23" s="31">
        <v>2012</v>
      </c>
      <c r="E23" s="8">
        <v>0</v>
      </c>
    </row>
    <row r="24" spans="3:5" ht="15">
      <c r="C24" s="8" t="s">
        <v>33</v>
      </c>
      <c r="D24" s="31">
        <v>2012</v>
      </c>
      <c r="E24" s="8">
        <v>0</v>
      </c>
    </row>
    <row r="25" spans="3:5" ht="15">
      <c r="C25" s="8" t="s">
        <v>34</v>
      </c>
      <c r="D25" s="31">
        <v>2012</v>
      </c>
      <c r="E25" s="8">
        <v>-181.48</v>
      </c>
    </row>
    <row r="26" spans="3:5" ht="15">
      <c r="C26" s="8" t="s">
        <v>35</v>
      </c>
      <c r="D26" s="31">
        <v>2012</v>
      </c>
      <c r="E26" s="8">
        <v>0</v>
      </c>
    </row>
    <row r="27" spans="3:5" ht="15">
      <c r="C27" s="8" t="s">
        <v>37</v>
      </c>
      <c r="D27" s="31">
        <v>2012</v>
      </c>
      <c r="E27" s="8">
        <v>0</v>
      </c>
    </row>
    <row r="28" spans="3:5" ht="15">
      <c r="C28" s="8" t="s">
        <v>38</v>
      </c>
      <c r="D28" s="31">
        <v>2012</v>
      </c>
      <c r="E28" s="8">
        <v>-12722.44</v>
      </c>
    </row>
    <row r="29" spans="3:5" ht="15">
      <c r="C29" s="8" t="s">
        <v>39</v>
      </c>
      <c r="D29" s="31">
        <v>2012</v>
      </c>
      <c r="E29" s="8">
        <v>-219570.7</v>
      </c>
    </row>
    <row r="30" spans="3:5" ht="15">
      <c r="C30" s="8" t="s">
        <v>41</v>
      </c>
      <c r="D30" s="31">
        <v>2012</v>
      </c>
      <c r="E30" s="8">
        <v>0</v>
      </c>
    </row>
    <row r="31" spans="3:5" ht="15">
      <c r="C31" s="8" t="s">
        <v>43</v>
      </c>
      <c r="D31" s="31">
        <v>2012</v>
      </c>
      <c r="E31" s="8">
        <v>313.26</v>
      </c>
    </row>
    <row r="32" spans="3:5" ht="15">
      <c r="C32" s="8" t="s">
        <v>44</v>
      </c>
      <c r="D32" s="31">
        <v>2012</v>
      </c>
      <c r="E32" s="8">
        <v>0</v>
      </c>
    </row>
    <row r="33" spans="3:5" ht="15">
      <c r="C33" s="8" t="s">
        <v>47</v>
      </c>
      <c r="D33" s="31">
        <v>2012</v>
      </c>
      <c r="E33" s="8">
        <v>0</v>
      </c>
    </row>
    <row r="34" spans="3:5" ht="15">
      <c r="C34" s="8" t="s">
        <v>48</v>
      </c>
      <c r="D34" s="31">
        <v>2012</v>
      </c>
      <c r="E34" s="8">
        <v>0</v>
      </c>
    </row>
    <row r="35" spans="3:5" ht="15">
      <c r="C35" s="8" t="s">
        <v>49</v>
      </c>
      <c r="D35" s="31">
        <v>2012</v>
      </c>
      <c r="E35" s="8">
        <v>-327</v>
      </c>
    </row>
    <row r="36" spans="3:5" ht="15">
      <c r="C36" s="8" t="s">
        <v>50</v>
      </c>
      <c r="D36" s="31">
        <v>2012</v>
      </c>
      <c r="E36" s="8">
        <v>-431.25</v>
      </c>
    </row>
    <row r="37" spans="3:5" ht="15">
      <c r="C37" s="8" t="s">
        <v>51</v>
      </c>
      <c r="D37" s="31">
        <v>2012</v>
      </c>
      <c r="E37" s="8">
        <v>-1328.5</v>
      </c>
    </row>
    <row r="38" spans="3:5" ht="15">
      <c r="C38" s="8" t="s">
        <v>52</v>
      </c>
      <c r="D38" s="31">
        <v>2012</v>
      </c>
      <c r="E38" s="8">
        <v>-2000</v>
      </c>
    </row>
    <row r="39" spans="3:5" ht="15">
      <c r="C39" s="8" t="s">
        <v>53</v>
      </c>
      <c r="D39" s="31">
        <v>2012</v>
      </c>
      <c r="E39" s="8">
        <v>-400</v>
      </c>
    </row>
    <row r="40" spans="3:5" ht="15">
      <c r="C40" s="8" t="s">
        <v>54</v>
      </c>
      <c r="D40" s="31">
        <v>2012</v>
      </c>
      <c r="E40" s="8">
        <v>0</v>
      </c>
    </row>
    <row r="41" spans="3:5" ht="15">
      <c r="C41" s="8" t="s">
        <v>56</v>
      </c>
      <c r="D41" s="31">
        <v>2012</v>
      </c>
      <c r="E41" s="8">
        <v>-164.06</v>
      </c>
    </row>
    <row r="42" spans="3:5" ht="15">
      <c r="C42" s="8" t="s">
        <v>57</v>
      </c>
      <c r="D42" s="31">
        <v>2012</v>
      </c>
      <c r="E42" s="8">
        <v>-485</v>
      </c>
    </row>
    <row r="43" spans="3:5" ht="15">
      <c r="C43" s="8" t="s">
        <v>58</v>
      </c>
      <c r="D43" s="31">
        <v>2012</v>
      </c>
      <c r="E43" s="8">
        <v>1215.8</v>
      </c>
    </row>
    <row r="44" spans="3:5" ht="15">
      <c r="C44" s="8" t="s">
        <v>59</v>
      </c>
      <c r="D44" s="31">
        <v>2012</v>
      </c>
      <c r="E44" s="8">
        <v>0</v>
      </c>
    </row>
    <row r="45" spans="3:5" ht="15">
      <c r="C45" s="8" t="s">
        <v>61</v>
      </c>
      <c r="D45" s="31">
        <v>2012</v>
      </c>
      <c r="E45" s="8">
        <v>0</v>
      </c>
    </row>
    <row r="46" spans="3:5" ht="15">
      <c r="C46" s="8" t="s">
        <v>63</v>
      </c>
      <c r="D46" s="31">
        <v>2012</v>
      </c>
      <c r="E46" s="8">
        <v>329.74</v>
      </c>
    </row>
    <row r="47" spans="3:5" ht="15">
      <c r="C47" s="8" t="s">
        <v>64</v>
      </c>
      <c r="D47" s="31">
        <v>2012</v>
      </c>
      <c r="E47" s="8">
        <v>0</v>
      </c>
    </row>
    <row r="48" spans="3:5" ht="15">
      <c r="C48" s="8" t="s">
        <v>65</v>
      </c>
      <c r="D48" s="31">
        <v>2012</v>
      </c>
      <c r="E48" s="8">
        <v>76.5</v>
      </c>
    </row>
    <row r="49" spans="3:5" ht="15">
      <c r="C49" s="8" t="s">
        <v>67</v>
      </c>
      <c r="D49" s="31">
        <v>2012</v>
      </c>
      <c r="E49" s="8">
        <v>0</v>
      </c>
    </row>
    <row r="50" spans="3:5" ht="15">
      <c r="C50" s="8" t="s">
        <v>68</v>
      </c>
      <c r="D50" s="31">
        <v>2012</v>
      </c>
      <c r="E50" s="8">
        <v>0</v>
      </c>
    </row>
    <row r="51" spans="3:5" ht="15">
      <c r="C51" s="8" t="s">
        <v>69</v>
      </c>
      <c r="D51" s="31">
        <v>2012</v>
      </c>
      <c r="E51" s="8">
        <v>0</v>
      </c>
    </row>
    <row r="52" spans="3:5" ht="15">
      <c r="C52" s="8" t="s">
        <v>70</v>
      </c>
      <c r="D52" s="31">
        <v>2012</v>
      </c>
      <c r="E52" s="8">
        <v>0</v>
      </c>
    </row>
    <row r="53" spans="3:5" ht="15">
      <c r="C53" s="8" t="s">
        <v>71</v>
      </c>
      <c r="D53" s="31">
        <v>2012</v>
      </c>
      <c r="E53" s="8">
        <v>0</v>
      </c>
    </row>
    <row r="54" spans="3:5" ht="15">
      <c r="C54" s="8" t="s">
        <v>72</v>
      </c>
      <c r="D54" s="31">
        <v>2012</v>
      </c>
      <c r="E54" s="8">
        <v>381.42</v>
      </c>
    </row>
    <row r="55" spans="3:5" ht="15">
      <c r="C55" s="8" t="s">
        <v>74</v>
      </c>
      <c r="D55" s="31">
        <v>2012</v>
      </c>
      <c r="E55" s="8">
        <v>1150</v>
      </c>
    </row>
    <row r="56" spans="3:5" ht="15">
      <c r="C56" s="8" t="s">
        <v>76</v>
      </c>
      <c r="D56" s="31">
        <v>2012</v>
      </c>
      <c r="E56" s="8">
        <v>0</v>
      </c>
    </row>
    <row r="57" spans="3:5" ht="15">
      <c r="C57" s="8" t="s">
        <v>77</v>
      </c>
      <c r="D57" s="31">
        <v>2012</v>
      </c>
      <c r="E57" s="8">
        <v>0</v>
      </c>
    </row>
    <row r="58" spans="3:5" ht="15">
      <c r="C58" s="8" t="s">
        <v>78</v>
      </c>
      <c r="D58" s="31">
        <v>2012</v>
      </c>
      <c r="E58" s="8">
        <v>0</v>
      </c>
    </row>
    <row r="59" spans="3:5" ht="15">
      <c r="C59" s="8" t="s">
        <v>79</v>
      </c>
      <c r="D59" s="31">
        <v>2012</v>
      </c>
      <c r="E59" s="8">
        <v>0</v>
      </c>
    </row>
    <row r="60" spans="3:5" ht="15">
      <c r="C60" s="8" t="s">
        <v>80</v>
      </c>
      <c r="D60" s="31">
        <v>2012</v>
      </c>
      <c r="E60" s="8">
        <v>0</v>
      </c>
    </row>
    <row r="61" spans="3:5" ht="15">
      <c r="C61" s="8" t="s">
        <v>81</v>
      </c>
      <c r="D61" s="31">
        <v>2012</v>
      </c>
      <c r="E61" s="8">
        <v>0</v>
      </c>
    </row>
    <row r="62" spans="3:5" ht="15">
      <c r="C62" s="8" t="s">
        <v>83</v>
      </c>
      <c r="D62" s="31">
        <v>2012</v>
      </c>
      <c r="E62" s="8">
        <v>0</v>
      </c>
    </row>
    <row r="63" spans="3:5" ht="15">
      <c r="C63" s="8" t="s">
        <v>84</v>
      </c>
      <c r="D63" s="31">
        <v>2012</v>
      </c>
      <c r="E63" s="8">
        <v>0</v>
      </c>
    </row>
    <row r="64" spans="3:5" ht="15">
      <c r="C64" s="8" t="s">
        <v>86</v>
      </c>
      <c r="D64" s="31">
        <v>2012</v>
      </c>
      <c r="E64" s="8">
        <v>0</v>
      </c>
    </row>
    <row r="65" spans="3:5" ht="15">
      <c r="C65" s="8" t="s">
        <v>87</v>
      </c>
      <c r="D65" s="31">
        <v>2012</v>
      </c>
      <c r="E65" s="8">
        <v>0</v>
      </c>
    </row>
    <row r="66" spans="3:5" ht="15">
      <c r="C66" s="8" t="s">
        <v>88</v>
      </c>
      <c r="D66" s="31">
        <v>2012</v>
      </c>
      <c r="E66" s="8">
        <v>414.09</v>
      </c>
    </row>
    <row r="67" spans="3:5" ht="15">
      <c r="C67" s="8" t="s">
        <v>89</v>
      </c>
      <c r="D67" s="31">
        <v>2012</v>
      </c>
      <c r="E67" s="8">
        <v>170.76</v>
      </c>
    </row>
    <row r="68" spans="3:5" ht="15">
      <c r="C68" s="8" t="s">
        <v>90</v>
      </c>
      <c r="D68" s="31">
        <v>2012</v>
      </c>
      <c r="E68" s="8">
        <v>71.55</v>
      </c>
    </row>
    <row r="69" spans="3:5" ht="15">
      <c r="C69" s="8" t="s">
        <v>91</v>
      </c>
      <c r="D69" s="31">
        <v>2012</v>
      </c>
      <c r="E69" s="8">
        <v>0</v>
      </c>
    </row>
    <row r="70" spans="3:5" ht="15">
      <c r="C70" s="8" t="s">
        <v>92</v>
      </c>
      <c r="D70" s="31">
        <v>2012</v>
      </c>
      <c r="E70" s="8">
        <v>-6.58</v>
      </c>
    </row>
    <row r="71" spans="3:5" ht="15">
      <c r="C71" s="8" t="s">
        <v>3</v>
      </c>
      <c r="D71" s="8">
        <v>2013</v>
      </c>
      <c r="E71" s="8">
        <v>99250.02</v>
      </c>
    </row>
    <row r="72" spans="3:5" ht="15">
      <c r="C72" s="8" t="s">
        <v>16</v>
      </c>
      <c r="D72" s="8">
        <v>2013</v>
      </c>
      <c r="E72" s="8">
        <v>225.23</v>
      </c>
    </row>
    <row r="73" spans="3:5" ht="15">
      <c r="C73" s="8" t="s">
        <v>4</v>
      </c>
      <c r="D73" s="8">
        <v>2013</v>
      </c>
      <c r="E73" s="8">
        <v>5987.5</v>
      </c>
    </row>
    <row r="74" spans="3:5" ht="15">
      <c r="C74" s="8" t="s">
        <v>17</v>
      </c>
      <c r="D74" s="8">
        <v>2013</v>
      </c>
      <c r="E74" s="8">
        <v>35810.02</v>
      </c>
    </row>
    <row r="75" spans="3:5" ht="15">
      <c r="C75" s="8" t="s">
        <v>18</v>
      </c>
      <c r="D75" s="8">
        <v>2013</v>
      </c>
      <c r="E75" s="8">
        <v>500</v>
      </c>
    </row>
    <row r="76" spans="3:5" ht="15">
      <c r="C76" s="8" t="s">
        <v>19</v>
      </c>
      <c r="D76" s="8">
        <v>2013</v>
      </c>
      <c r="E76" s="8">
        <v>100</v>
      </c>
    </row>
    <row r="77" spans="3:5" ht="15">
      <c r="C77" s="8" t="s">
        <v>20</v>
      </c>
      <c r="D77" s="8">
        <v>2013</v>
      </c>
      <c r="E77" s="8">
        <v>6937.08</v>
      </c>
    </row>
    <row r="78" spans="3:5" ht="15">
      <c r="C78" s="8" t="s">
        <v>21</v>
      </c>
      <c r="D78" s="8">
        <v>2013</v>
      </c>
      <c r="E78" s="8">
        <v>110</v>
      </c>
    </row>
    <row r="79" spans="3:5" ht="15">
      <c r="C79" s="8" t="s">
        <v>23</v>
      </c>
      <c r="D79" s="8">
        <v>2013</v>
      </c>
      <c r="E79" s="8">
        <v>-1725</v>
      </c>
    </row>
    <row r="80" spans="3:5" ht="15">
      <c r="C80" s="8" t="s">
        <v>25</v>
      </c>
      <c r="D80" s="8">
        <v>2013</v>
      </c>
      <c r="E80" s="8">
        <v>13750</v>
      </c>
    </row>
    <row r="81" spans="3:5" ht="15">
      <c r="C81" s="8" t="s">
        <v>27</v>
      </c>
      <c r="D81" s="8">
        <v>2013</v>
      </c>
      <c r="E81" s="8">
        <v>-2578.69</v>
      </c>
    </row>
    <row r="82" spans="3:5" ht="15">
      <c r="C82" s="8" t="s">
        <v>28</v>
      </c>
      <c r="D82" s="8">
        <v>2013</v>
      </c>
      <c r="E82" s="8">
        <v>-1403.99</v>
      </c>
    </row>
    <row r="83" spans="3:5" ht="15">
      <c r="C83" s="8" t="s">
        <v>29</v>
      </c>
      <c r="D83" s="8">
        <v>2013</v>
      </c>
      <c r="E83" s="8">
        <v>-45</v>
      </c>
    </row>
    <row r="84" spans="3:5" ht="15">
      <c r="C84" s="8" t="s">
        <v>30</v>
      </c>
      <c r="D84" s="8">
        <v>2013</v>
      </c>
      <c r="E84" s="8">
        <v>-25</v>
      </c>
    </row>
    <row r="85" spans="3:5" ht="15">
      <c r="C85" s="8" t="s">
        <v>31</v>
      </c>
      <c r="D85" s="8">
        <v>2013</v>
      </c>
      <c r="E85" s="8">
        <v>-5520.47</v>
      </c>
    </row>
    <row r="86" spans="3:5" ht="15">
      <c r="C86" s="8" t="s">
        <v>33</v>
      </c>
      <c r="D86" s="8">
        <v>2013</v>
      </c>
      <c r="E86" s="8">
        <v>1520</v>
      </c>
    </row>
    <row r="87" spans="3:5" ht="15">
      <c r="C87" s="8" t="s">
        <v>34</v>
      </c>
      <c r="D87" s="8">
        <v>2013</v>
      </c>
      <c r="E87" s="8">
        <v>-2086.5</v>
      </c>
    </row>
    <row r="88" spans="3:5" ht="15">
      <c r="C88" s="8" t="s">
        <v>35</v>
      </c>
      <c r="D88" s="8">
        <v>2013</v>
      </c>
      <c r="E88" s="8">
        <v>-19932.65</v>
      </c>
    </row>
    <row r="89" spans="3:5" ht="15">
      <c r="C89" s="8" t="s">
        <v>37</v>
      </c>
      <c r="D89" s="8">
        <v>2013</v>
      </c>
      <c r="E89" s="8">
        <v>-3911.32</v>
      </c>
    </row>
    <row r="90" spans="3:5" ht="15">
      <c r="C90" s="8" t="s">
        <v>38</v>
      </c>
      <c r="D90" s="8">
        <v>2013</v>
      </c>
      <c r="E90" s="8">
        <v>-5369.06</v>
      </c>
    </row>
    <row r="91" spans="3:5" ht="15">
      <c r="C91" s="8" t="s">
        <v>39</v>
      </c>
      <c r="D91" s="8">
        <v>2013</v>
      </c>
      <c r="E91" s="8">
        <v>-151970.07</v>
      </c>
    </row>
    <row r="92" spans="3:5" ht="15">
      <c r="C92" s="8" t="s">
        <v>41</v>
      </c>
      <c r="D92" s="8">
        <v>2013</v>
      </c>
      <c r="E92" s="8">
        <v>5000</v>
      </c>
    </row>
    <row r="93" spans="3:5" ht="15">
      <c r="C93" s="8" t="s">
        <v>43</v>
      </c>
      <c r="D93" s="8">
        <v>2013</v>
      </c>
      <c r="E93" s="8">
        <v>40118.74</v>
      </c>
    </row>
    <row r="94" spans="3:5" ht="15">
      <c r="C94" s="8" t="s">
        <v>44</v>
      </c>
      <c r="D94" s="8">
        <v>2013</v>
      </c>
      <c r="E94" s="8">
        <v>-13510</v>
      </c>
    </row>
    <row r="95" spans="3:5" ht="15">
      <c r="C95" s="8" t="s">
        <v>47</v>
      </c>
      <c r="D95" s="8">
        <v>2013</v>
      </c>
      <c r="E95" s="8">
        <v>-141.3</v>
      </c>
    </row>
    <row r="96" spans="3:5" ht="15">
      <c r="C96" s="8" t="s">
        <v>48</v>
      </c>
      <c r="D96" s="8">
        <v>2013</v>
      </c>
      <c r="E96" s="8">
        <v>-45</v>
      </c>
    </row>
    <row r="97" spans="3:5" ht="15">
      <c r="C97" s="8" t="s">
        <v>49</v>
      </c>
      <c r="D97" s="8">
        <v>2013</v>
      </c>
      <c r="E97" s="8">
        <v>-6803.4</v>
      </c>
    </row>
    <row r="98" spans="3:5" ht="15">
      <c r="C98" s="8" t="s">
        <v>50</v>
      </c>
      <c r="D98" s="8">
        <v>2013</v>
      </c>
      <c r="E98" s="8">
        <v>-5341.95</v>
      </c>
    </row>
    <row r="99" spans="3:5" ht="15">
      <c r="C99" s="8" t="s">
        <v>51</v>
      </c>
      <c r="D99" s="8">
        <v>2013</v>
      </c>
      <c r="E99" s="8">
        <v>-3887.21</v>
      </c>
    </row>
    <row r="100" spans="3:5" ht="15">
      <c r="C100" s="8" t="s">
        <v>52</v>
      </c>
      <c r="D100" s="8">
        <v>2013</v>
      </c>
      <c r="E100" s="8">
        <v>-24567</v>
      </c>
    </row>
    <row r="101" spans="3:5" ht="15">
      <c r="C101" s="8" t="s">
        <v>53</v>
      </c>
      <c r="D101" s="8">
        <v>2013</v>
      </c>
      <c r="E101" s="8">
        <v>-3564.5</v>
      </c>
    </row>
    <row r="102" spans="3:5" ht="15">
      <c r="C102" s="8" t="s">
        <v>54</v>
      </c>
      <c r="D102" s="8">
        <v>2013</v>
      </c>
      <c r="E102" s="8">
        <v>-815</v>
      </c>
    </row>
    <row r="103" spans="3:5" ht="15">
      <c r="C103" s="8" t="s">
        <v>56</v>
      </c>
      <c r="D103" s="8">
        <v>2013</v>
      </c>
      <c r="E103" s="8">
        <v>-383.03</v>
      </c>
    </row>
    <row r="104" spans="3:5" ht="15">
      <c r="C104" s="8" t="s">
        <v>57</v>
      </c>
      <c r="D104" s="8">
        <v>2013</v>
      </c>
      <c r="E104" s="8">
        <v>-6640</v>
      </c>
    </row>
    <row r="105" spans="3:5" ht="15">
      <c r="C105" s="8" t="s">
        <v>58</v>
      </c>
      <c r="D105" s="8">
        <v>2013</v>
      </c>
      <c r="E105" s="8">
        <v>4220.25</v>
      </c>
    </row>
    <row r="106" spans="3:5" ht="15">
      <c r="C106" s="8" t="s">
        <v>59</v>
      </c>
      <c r="D106" s="8">
        <v>2013</v>
      </c>
      <c r="E106" s="8">
        <v>37820.65</v>
      </c>
    </row>
    <row r="107" spans="3:5" ht="15">
      <c r="C107" s="8" t="s">
        <v>61</v>
      </c>
      <c r="D107" s="8">
        <v>2013</v>
      </c>
      <c r="E107" s="8">
        <v>427.62</v>
      </c>
    </row>
    <row r="108" spans="3:5" ht="15">
      <c r="C108" s="8" t="s">
        <v>63</v>
      </c>
      <c r="D108" s="8">
        <v>2013</v>
      </c>
      <c r="E108" s="8">
        <v>55.93</v>
      </c>
    </row>
    <row r="109" spans="3:5" ht="15">
      <c r="C109" s="8" t="s">
        <v>64</v>
      </c>
      <c r="D109" s="8">
        <v>2013</v>
      </c>
      <c r="E109" s="8">
        <v>254.5</v>
      </c>
    </row>
    <row r="110" spans="3:5" ht="15">
      <c r="C110" s="8" t="s">
        <v>65</v>
      </c>
      <c r="D110" s="8">
        <v>2013</v>
      </c>
      <c r="E110" s="8">
        <v>73.5</v>
      </c>
    </row>
    <row r="111" spans="3:5" ht="15">
      <c r="C111" s="8" t="s">
        <v>67</v>
      </c>
      <c r="D111" s="8">
        <v>2013</v>
      </c>
      <c r="E111" s="8">
        <v>15</v>
      </c>
    </row>
    <row r="112" spans="3:5" ht="15">
      <c r="C112" s="8" t="s">
        <v>68</v>
      </c>
      <c r="D112" s="8">
        <v>2013</v>
      </c>
      <c r="E112" s="8">
        <v>200</v>
      </c>
    </row>
    <row r="113" spans="3:5" ht="15">
      <c r="C113" s="8" t="s">
        <v>69</v>
      </c>
      <c r="D113" s="8">
        <v>2013</v>
      </c>
      <c r="E113" s="8">
        <v>150</v>
      </c>
    </row>
    <row r="114" spans="3:5" ht="15">
      <c r="C114" s="8" t="s">
        <v>70</v>
      </c>
      <c r="D114" s="8">
        <v>2013</v>
      </c>
      <c r="E114" s="8">
        <v>855</v>
      </c>
    </row>
    <row r="115" spans="3:5" ht="15">
      <c r="C115" s="8" t="s">
        <v>71</v>
      </c>
      <c r="D115" s="8">
        <v>2013</v>
      </c>
      <c r="E115" s="8">
        <v>630</v>
      </c>
    </row>
    <row r="116" spans="3:5" ht="15">
      <c r="C116" s="8" t="s">
        <v>72</v>
      </c>
      <c r="D116" s="8">
        <v>2013</v>
      </c>
      <c r="E116" s="8">
        <v>470.91</v>
      </c>
    </row>
    <row r="117" spans="3:5" ht="15">
      <c r="C117" s="8" t="s">
        <v>74</v>
      </c>
      <c r="D117" s="8">
        <v>2013</v>
      </c>
      <c r="E117" s="8">
        <v>0</v>
      </c>
    </row>
    <row r="118" spans="3:5" ht="15">
      <c r="C118" s="8" t="s">
        <v>76</v>
      </c>
      <c r="D118" s="8">
        <v>2013</v>
      </c>
      <c r="E118" s="8">
        <v>1150</v>
      </c>
    </row>
    <row r="119" spans="3:5" ht="15">
      <c r="C119" s="8" t="s">
        <v>77</v>
      </c>
      <c r="D119" s="8">
        <v>2013</v>
      </c>
      <c r="E119" s="8">
        <v>902.25</v>
      </c>
    </row>
    <row r="120" spans="3:5" ht="15">
      <c r="C120" s="8" t="s">
        <v>78</v>
      </c>
      <c r="D120" s="8">
        <v>2013</v>
      </c>
      <c r="E120" s="8">
        <v>0</v>
      </c>
    </row>
    <row r="121" spans="3:5" ht="15">
      <c r="C121" s="8" t="s">
        <v>79</v>
      </c>
      <c r="D121" s="8">
        <v>2013</v>
      </c>
      <c r="E121" s="8">
        <v>375</v>
      </c>
    </row>
    <row r="122" spans="3:5" ht="15">
      <c r="C122" s="8" t="s">
        <v>80</v>
      </c>
      <c r="D122" s="8">
        <v>2013</v>
      </c>
      <c r="E122" s="8">
        <v>0</v>
      </c>
    </row>
    <row r="123" spans="3:5" ht="15">
      <c r="C123" s="8" t="s">
        <v>81</v>
      </c>
      <c r="D123" s="8">
        <v>2013</v>
      </c>
      <c r="E123" s="8">
        <v>375</v>
      </c>
    </row>
    <row r="124" spans="3:5" ht="15">
      <c r="C124" s="8" t="s">
        <v>83</v>
      </c>
      <c r="D124" s="8">
        <v>2013</v>
      </c>
      <c r="E124" s="8">
        <v>2400</v>
      </c>
    </row>
    <row r="125" spans="3:5" ht="15">
      <c r="C125" s="8" t="s">
        <v>84</v>
      </c>
      <c r="D125" s="8">
        <v>2013</v>
      </c>
      <c r="E125" s="8">
        <v>45</v>
      </c>
    </row>
    <row r="126" spans="3:5" ht="15">
      <c r="C126" s="8" t="s">
        <v>86</v>
      </c>
      <c r="D126" s="8">
        <v>2013</v>
      </c>
      <c r="E126" s="8">
        <v>735</v>
      </c>
    </row>
    <row r="127" spans="3:5" ht="15">
      <c r="C127" s="8" t="s">
        <v>87</v>
      </c>
      <c r="D127" s="8">
        <v>2013</v>
      </c>
      <c r="E127" s="8">
        <v>0</v>
      </c>
    </row>
    <row r="128" spans="3:5" ht="15">
      <c r="C128" s="8" t="s">
        <v>88</v>
      </c>
      <c r="D128" s="8">
        <v>2013</v>
      </c>
      <c r="E128" s="8">
        <v>424.42</v>
      </c>
    </row>
    <row r="129" spans="3:5" ht="15">
      <c r="C129" s="8" t="s">
        <v>89</v>
      </c>
      <c r="D129" s="8">
        <v>2013</v>
      </c>
      <c r="E129" s="8">
        <v>149.96</v>
      </c>
    </row>
    <row r="130" spans="3:5" ht="15">
      <c r="C130" s="8" t="s">
        <v>90</v>
      </c>
      <c r="D130" s="8">
        <v>2013</v>
      </c>
      <c r="E130" s="8">
        <v>81.17</v>
      </c>
    </row>
    <row r="131" spans="3:5" ht="15">
      <c r="C131" s="8" t="s">
        <v>91</v>
      </c>
      <c r="D131" s="8">
        <v>2013</v>
      </c>
      <c r="E131" s="8">
        <v>-762.5</v>
      </c>
    </row>
    <row r="132" spans="3:5" ht="15">
      <c r="C132" s="8" t="s">
        <v>92</v>
      </c>
      <c r="D132" s="8">
        <v>2013</v>
      </c>
      <c r="E132" s="8">
        <v>-91.11</v>
      </c>
    </row>
  </sheetData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8" customWidth="1"/>
    <col min="2" max="2" width="20.57421875" style="8" customWidth="1"/>
    <col min="3" max="3" width="18.140625" style="8" customWidth="1"/>
    <col min="4" max="4" width="9.140625" style="8" customWidth="1"/>
    <col min="5" max="5" width="14.00390625" style="8" customWidth="1"/>
    <col min="6" max="6" width="11.7109375" style="8" customWidth="1"/>
    <col min="7" max="16384" width="9.140625" style="8" customWidth="1"/>
  </cols>
  <sheetData>
    <row r="1" spans="1:6" ht="24" thickBot="1">
      <c r="A1" s="6" t="s">
        <v>9</v>
      </c>
      <c r="B1" s="7"/>
      <c r="C1" s="7"/>
      <c r="D1" s="7"/>
      <c r="E1" s="7"/>
      <c r="F1" s="7"/>
    </row>
    <row r="2" ht="18.75">
      <c r="A2" s="9" t="s">
        <v>0</v>
      </c>
    </row>
    <row r="4" spans="1:2" ht="15">
      <c r="A4" s="10" t="s">
        <v>1</v>
      </c>
      <c r="B4" s="8" t="s">
        <v>143</v>
      </c>
    </row>
    <row r="7" ht="15">
      <c r="A7" s="10" t="s">
        <v>7</v>
      </c>
    </row>
    <row r="9" spans="2:6" ht="15">
      <c r="B9" s="8" t="s">
        <v>11</v>
      </c>
      <c r="C9" s="8" t="s">
        <v>12</v>
      </c>
      <c r="D9" s="8" t="s">
        <v>13</v>
      </c>
      <c r="E9" s="8" t="s">
        <v>14</v>
      </c>
      <c r="F9" s="8" t="s">
        <v>15</v>
      </c>
    </row>
    <row r="10" spans="2:6" ht="15">
      <c r="B10" s="8" t="s">
        <v>3</v>
      </c>
      <c r="C10" s="8" t="s">
        <v>6</v>
      </c>
      <c r="E10" s="11">
        <f>SUMIFS(tbl_tb[Amount],tbl_tb[Period],date_cy,tbl_tb[Account],tbl_map[[#This Row],[PerTB]])</f>
        <v>99250.02</v>
      </c>
      <c r="F10" s="11">
        <f>SUMIFS(tbl_tb[Amount],tbl_tb[Period],date_py,tbl_tb[Account],tbl_map[[#This Row],[PerTB]])</f>
        <v>198261.47</v>
      </c>
    </row>
    <row r="11" spans="2:6" ht="15">
      <c r="B11" s="8" t="s">
        <v>16</v>
      </c>
      <c r="C11" s="8" t="s">
        <v>6</v>
      </c>
      <c r="E11" s="11">
        <f>SUMIFS(tbl_tb[Amount],tbl_tb[Period],date_cy,tbl_tb[Account],tbl_map[[#This Row],[PerTB]])</f>
        <v>225.23</v>
      </c>
      <c r="F11" s="11">
        <f>SUMIFS(tbl_tb[Amount],tbl_tb[Period],date_py,tbl_tb[Account],tbl_map[[#This Row],[PerTB]])</f>
        <v>0</v>
      </c>
    </row>
    <row r="12" spans="2:6" ht="15">
      <c r="B12" s="8" t="s">
        <v>4</v>
      </c>
      <c r="C12" s="8" t="s">
        <v>6</v>
      </c>
      <c r="E12" s="11">
        <f>SUMIFS(tbl_tb[Amount],tbl_tb[Period],date_cy,tbl_tb[Account],tbl_map[[#This Row],[PerTB]])</f>
        <v>5987.5</v>
      </c>
      <c r="F12" s="11">
        <f>SUMIFS(tbl_tb[Amount],tbl_tb[Period],date_py,tbl_tb[Account],tbl_map[[#This Row],[PerTB]])</f>
        <v>20577.5</v>
      </c>
    </row>
    <row r="13" spans="2:6" ht="15">
      <c r="B13" s="8" t="s">
        <v>17</v>
      </c>
      <c r="C13" s="8" t="s">
        <v>17</v>
      </c>
      <c r="E13" s="11">
        <f>SUMIFS(tbl_tb[Amount],tbl_tb[Period],date_cy,tbl_tb[Account],tbl_map[[#This Row],[PerTB]])</f>
        <v>35810.02</v>
      </c>
      <c r="F13" s="11">
        <f>SUMIFS(tbl_tb[Amount],tbl_tb[Period],date_py,tbl_tb[Account],tbl_map[[#This Row],[PerTB]])</f>
        <v>3583.04</v>
      </c>
    </row>
    <row r="14" spans="2:6" ht="15">
      <c r="B14" s="8" t="s">
        <v>18</v>
      </c>
      <c r="C14" s="8" t="s">
        <v>5</v>
      </c>
      <c r="E14" s="11">
        <f>SUMIFS(tbl_tb[Amount],tbl_tb[Period],date_cy,tbl_tb[Account],tbl_map[[#This Row],[PerTB]])</f>
        <v>500</v>
      </c>
      <c r="F14" s="11">
        <f>SUMIFS(tbl_tb[Amount],tbl_tb[Period],date_py,tbl_tb[Account],tbl_map[[#This Row],[PerTB]])</f>
        <v>0</v>
      </c>
    </row>
    <row r="15" spans="2:6" ht="15">
      <c r="B15" s="8" t="s">
        <v>19</v>
      </c>
      <c r="C15" s="8" t="s">
        <v>5</v>
      </c>
      <c r="E15" s="11">
        <f>SUMIFS(tbl_tb[Amount],tbl_tb[Period],date_cy,tbl_tb[Account],tbl_map[[#This Row],[PerTB]])</f>
        <v>100</v>
      </c>
      <c r="F15" s="11">
        <f>SUMIFS(tbl_tb[Amount],tbl_tb[Period],date_py,tbl_tb[Account],tbl_map[[#This Row],[PerTB]])</f>
        <v>0</v>
      </c>
    </row>
    <row r="16" spans="2:6" ht="15">
      <c r="B16" s="8" t="s">
        <v>20</v>
      </c>
      <c r="C16" s="8" t="s">
        <v>10</v>
      </c>
      <c r="E16" s="11">
        <f>SUMIFS(tbl_tb[Amount],tbl_tb[Period],date_cy,tbl_tb[Account],tbl_map[[#This Row],[PerTB]])</f>
        <v>6937.08</v>
      </c>
      <c r="F16" s="11">
        <f>SUMIFS(tbl_tb[Amount],tbl_tb[Period],date_py,tbl_tb[Account],tbl_map[[#This Row],[PerTB]])</f>
        <v>2163.9</v>
      </c>
    </row>
    <row r="17" spans="2:6" ht="15">
      <c r="B17" s="8" t="s">
        <v>21</v>
      </c>
      <c r="C17" s="8" t="s">
        <v>22</v>
      </c>
      <c r="E17" s="11">
        <f>SUMIFS(tbl_tb[Amount],tbl_tb[Period],date_cy,tbl_tb[Account],tbl_map[[#This Row],[PerTB]])</f>
        <v>110</v>
      </c>
      <c r="F17" s="11">
        <f>SUMIFS(tbl_tb[Amount],tbl_tb[Period],date_py,tbl_tb[Account],tbl_map[[#This Row],[PerTB]])</f>
        <v>0</v>
      </c>
    </row>
    <row r="18" spans="2:6" ht="15">
      <c r="B18" s="8" t="s">
        <v>23</v>
      </c>
      <c r="C18" s="8" t="s">
        <v>24</v>
      </c>
      <c r="E18" s="11">
        <f>SUMIFS(tbl_tb[Amount],tbl_tb[Period],date_cy,tbl_tb[Account],tbl_map[[#This Row],[PerTB]])</f>
        <v>-1725</v>
      </c>
      <c r="F18" s="11">
        <f>SUMIFS(tbl_tb[Amount],tbl_tb[Period],date_py,tbl_tb[Account],tbl_map[[#This Row],[PerTB]])</f>
        <v>-1150</v>
      </c>
    </row>
    <row r="19" spans="2:6" ht="15">
      <c r="B19" s="8" t="s">
        <v>25</v>
      </c>
      <c r="C19" s="8" t="s">
        <v>26</v>
      </c>
      <c r="E19" s="11">
        <f>SUMIFS(tbl_tb[Amount],tbl_tb[Period],date_cy,tbl_tb[Account],tbl_map[[#This Row],[PerTB]])</f>
        <v>13750</v>
      </c>
      <c r="F19" s="11">
        <f>SUMIFS(tbl_tb[Amount],tbl_tb[Period],date_py,tbl_tb[Account],tbl_map[[#This Row],[PerTB]])</f>
        <v>13750</v>
      </c>
    </row>
    <row r="20" spans="2:6" ht="15">
      <c r="B20" s="8" t="s">
        <v>27</v>
      </c>
      <c r="C20" s="8" t="s">
        <v>27</v>
      </c>
      <c r="E20" s="11">
        <f>SUMIFS(tbl_tb[Amount],tbl_tb[Period],date_cy,tbl_tb[Account],tbl_map[[#This Row],[PerTB]])</f>
        <v>-2578.69</v>
      </c>
      <c r="F20" s="11">
        <f>SUMIFS(tbl_tb[Amount],tbl_tb[Period],date_py,tbl_tb[Account],tbl_map[[#This Row],[PerTB]])</f>
        <v>-3263.28</v>
      </c>
    </row>
    <row r="21" spans="2:6" ht="15">
      <c r="B21" s="8" t="s">
        <v>28</v>
      </c>
      <c r="C21" s="8" t="s">
        <v>27</v>
      </c>
      <c r="E21" s="11">
        <f>SUMIFS(tbl_tb[Amount],tbl_tb[Period],date_cy,tbl_tb[Account],tbl_map[[#This Row],[PerTB]])</f>
        <v>-1403.99</v>
      </c>
      <c r="F21" s="11">
        <f>SUMIFS(tbl_tb[Amount],tbl_tb[Period],date_py,tbl_tb[Account],tbl_map[[#This Row],[PerTB]])</f>
        <v>-428.74</v>
      </c>
    </row>
    <row r="22" spans="2:6" ht="15">
      <c r="B22" s="8" t="s">
        <v>29</v>
      </c>
      <c r="C22" s="8" t="s">
        <v>27</v>
      </c>
      <c r="E22" s="11">
        <f>SUMIFS(tbl_tb[Amount],tbl_tb[Period],date_cy,tbl_tb[Account],tbl_map[[#This Row],[PerTB]])</f>
        <v>-45</v>
      </c>
      <c r="F22" s="11">
        <f>SUMIFS(tbl_tb[Amount],tbl_tb[Period],date_py,tbl_tb[Account],tbl_map[[#This Row],[PerTB]])</f>
        <v>0</v>
      </c>
    </row>
    <row r="23" spans="2:6" ht="15">
      <c r="B23" s="8" t="s">
        <v>30</v>
      </c>
      <c r="C23" s="8" t="s">
        <v>27</v>
      </c>
      <c r="E23" s="11">
        <f>SUMIFS(tbl_tb[Amount],tbl_tb[Period],date_cy,tbl_tb[Account],tbl_map[[#This Row],[PerTB]])</f>
        <v>-25</v>
      </c>
      <c r="F23" s="11">
        <f>SUMIFS(tbl_tb[Amount],tbl_tb[Period],date_py,tbl_tb[Account],tbl_map[[#This Row],[PerTB]])</f>
        <v>0</v>
      </c>
    </row>
    <row r="24" spans="2:6" ht="15">
      <c r="B24" s="8" t="s">
        <v>31</v>
      </c>
      <c r="C24" s="8" t="s">
        <v>32</v>
      </c>
      <c r="E24" s="11">
        <f>SUMIFS(tbl_tb[Amount],tbl_tb[Period],date_cy,tbl_tb[Account],tbl_map[[#This Row],[PerTB]])</f>
        <v>-5520.47</v>
      </c>
      <c r="F24" s="11">
        <f>SUMIFS(tbl_tb[Amount],tbl_tb[Period],date_py,tbl_tb[Account],tbl_map[[#This Row],[PerTB]])</f>
        <v>0</v>
      </c>
    </row>
    <row r="25" spans="2:6" ht="15">
      <c r="B25" s="8" t="s">
        <v>33</v>
      </c>
      <c r="C25" s="8" t="s">
        <v>32</v>
      </c>
      <c r="E25" s="11">
        <f>SUMIFS(tbl_tb[Amount],tbl_tb[Period],date_cy,tbl_tb[Account],tbl_map[[#This Row],[PerTB]])</f>
        <v>1520</v>
      </c>
      <c r="F25" s="11">
        <f>SUMIFS(tbl_tb[Amount],tbl_tb[Period],date_py,tbl_tb[Account],tbl_map[[#This Row],[PerTB]])</f>
        <v>0</v>
      </c>
    </row>
    <row r="26" spans="2:6" ht="15">
      <c r="B26" s="8" t="s">
        <v>34</v>
      </c>
      <c r="C26" s="8" t="s">
        <v>32</v>
      </c>
      <c r="E26" s="11">
        <f>SUMIFS(tbl_tb[Amount],tbl_tb[Period],date_cy,tbl_tb[Account],tbl_map[[#This Row],[PerTB]])</f>
        <v>-2086.5</v>
      </c>
      <c r="F26" s="11">
        <f>SUMIFS(tbl_tb[Amount],tbl_tb[Period],date_py,tbl_tb[Account],tbl_map[[#This Row],[PerTB]])</f>
        <v>-181.48</v>
      </c>
    </row>
    <row r="27" spans="2:6" ht="15">
      <c r="B27" s="8" t="s">
        <v>35</v>
      </c>
      <c r="C27" s="8" t="s">
        <v>36</v>
      </c>
      <c r="E27" s="11">
        <f>SUMIFS(tbl_tb[Amount],tbl_tb[Period],date_cy,tbl_tb[Account],tbl_map[[#This Row],[PerTB]])</f>
        <v>-19932.65</v>
      </c>
      <c r="F27" s="11">
        <f>SUMIFS(tbl_tb[Amount],tbl_tb[Period],date_py,tbl_tb[Account],tbl_map[[#This Row],[PerTB]])</f>
        <v>0</v>
      </c>
    </row>
    <row r="28" spans="2:6" ht="15">
      <c r="B28" s="8" t="s">
        <v>37</v>
      </c>
      <c r="C28" s="8" t="s">
        <v>36</v>
      </c>
      <c r="E28" s="11">
        <f>SUMIFS(tbl_tb[Amount],tbl_tb[Period],date_cy,tbl_tb[Account],tbl_map[[#This Row],[PerTB]])</f>
        <v>-3911.32</v>
      </c>
      <c r="F28" s="11">
        <f>SUMIFS(tbl_tb[Amount],tbl_tb[Period],date_py,tbl_tb[Account],tbl_map[[#This Row],[PerTB]])</f>
        <v>0</v>
      </c>
    </row>
    <row r="29" spans="2:6" ht="15">
      <c r="B29" s="8" t="s">
        <v>38</v>
      </c>
      <c r="C29" s="8" t="s">
        <v>36</v>
      </c>
      <c r="E29" s="11">
        <f>SUMIFS(tbl_tb[Amount],tbl_tb[Period],date_cy,tbl_tb[Account],tbl_map[[#This Row],[PerTB]])</f>
        <v>-5369.06</v>
      </c>
      <c r="F29" s="11">
        <f>SUMIFS(tbl_tb[Amount],tbl_tb[Period],date_py,tbl_tb[Account],tbl_map[[#This Row],[PerTB]])</f>
        <v>-12722.44</v>
      </c>
    </row>
    <row r="30" spans="2:6" ht="15">
      <c r="B30" s="8" t="s">
        <v>39</v>
      </c>
      <c r="C30" s="8" t="s">
        <v>40</v>
      </c>
      <c r="E30" s="11">
        <f>SUMIFS(tbl_tb[Amount],tbl_tb[Period],date_cy,tbl_tb[Account],tbl_map[[#This Row],[PerTB]])</f>
        <v>-151970.07</v>
      </c>
      <c r="F30" s="11">
        <f>SUMIFS(tbl_tb[Amount],tbl_tb[Period],date_py,tbl_tb[Account],tbl_map[[#This Row],[PerTB]])</f>
        <v>-219570.7</v>
      </c>
    </row>
    <row r="31" spans="2:6" ht="15">
      <c r="B31" s="8" t="s">
        <v>41</v>
      </c>
      <c r="C31" s="8" t="s">
        <v>42</v>
      </c>
      <c r="E31" s="11">
        <f>SUMIFS(tbl_tb[Amount],tbl_tb[Period],date_cy,tbl_tb[Account],tbl_map[[#This Row],[PerTB]])</f>
        <v>5000</v>
      </c>
      <c r="F31" s="11">
        <f>SUMIFS(tbl_tb[Amount],tbl_tb[Period],date_py,tbl_tb[Account],tbl_map[[#This Row],[PerTB]])</f>
        <v>0</v>
      </c>
    </row>
    <row r="32" spans="2:6" ht="15">
      <c r="B32" s="8" t="s">
        <v>43</v>
      </c>
      <c r="C32" s="8" t="s">
        <v>43</v>
      </c>
      <c r="E32" s="11">
        <f>SUMIFS(tbl_tb[Amount],tbl_tb[Period],date_cy,tbl_tb[Account],tbl_map[[#This Row],[PerTB]])</f>
        <v>40118.74</v>
      </c>
      <c r="F32" s="11">
        <f>SUMIFS(tbl_tb[Amount],tbl_tb[Period],date_py,tbl_tb[Account],tbl_map[[#This Row],[PerTB]])</f>
        <v>313.26</v>
      </c>
    </row>
    <row r="33" spans="2:6" ht="15">
      <c r="B33" s="8" t="s">
        <v>44</v>
      </c>
      <c r="C33" s="8" t="s">
        <v>45</v>
      </c>
      <c r="D33" s="8" t="s">
        <v>46</v>
      </c>
      <c r="E33" s="11">
        <f>SUMIFS(tbl_tb[Amount],tbl_tb[Period],date_cy,tbl_tb[Account],tbl_map[[#This Row],[PerTB]])</f>
        <v>-13510</v>
      </c>
      <c r="F33" s="11">
        <f>SUMIFS(tbl_tb[Amount],tbl_tb[Period],date_py,tbl_tb[Account],tbl_map[[#This Row],[PerTB]])</f>
        <v>0</v>
      </c>
    </row>
    <row r="34" spans="2:6" ht="15">
      <c r="B34" s="8" t="s">
        <v>47</v>
      </c>
      <c r="C34" s="8" t="s">
        <v>45</v>
      </c>
      <c r="D34" s="8" t="s">
        <v>46</v>
      </c>
      <c r="E34" s="11">
        <f>SUMIFS(tbl_tb[Amount],tbl_tb[Period],date_cy,tbl_tb[Account],tbl_map[[#This Row],[PerTB]])</f>
        <v>-141.3</v>
      </c>
      <c r="F34" s="11">
        <f>SUMIFS(tbl_tb[Amount],tbl_tb[Period],date_py,tbl_tb[Account],tbl_map[[#This Row],[PerTB]])</f>
        <v>0</v>
      </c>
    </row>
    <row r="35" spans="2:6" ht="15">
      <c r="B35" s="8" t="s">
        <v>48</v>
      </c>
      <c r="C35" s="8" t="s">
        <v>45</v>
      </c>
      <c r="D35" s="8" t="s">
        <v>46</v>
      </c>
      <c r="E35" s="11">
        <f>SUMIFS(tbl_tb[Amount],tbl_tb[Period],date_cy,tbl_tb[Account],tbl_map[[#This Row],[PerTB]])</f>
        <v>-45</v>
      </c>
      <c r="F35" s="11">
        <f>SUMIFS(tbl_tb[Amount],tbl_tb[Period],date_py,tbl_tb[Account],tbl_map[[#This Row],[PerTB]])</f>
        <v>0</v>
      </c>
    </row>
    <row r="36" spans="2:6" ht="15">
      <c r="B36" s="8" t="s">
        <v>49</v>
      </c>
      <c r="C36" s="8" t="s">
        <v>45</v>
      </c>
      <c r="D36" s="8" t="s">
        <v>46</v>
      </c>
      <c r="E36" s="11">
        <f>SUMIFS(tbl_tb[Amount],tbl_tb[Period],date_cy,tbl_tb[Account],tbl_map[[#This Row],[PerTB]])</f>
        <v>-6803.4</v>
      </c>
      <c r="F36" s="11">
        <f>SUMIFS(tbl_tb[Amount],tbl_tb[Period],date_py,tbl_tb[Account],tbl_map[[#This Row],[PerTB]])</f>
        <v>-327</v>
      </c>
    </row>
    <row r="37" spans="2:6" ht="15">
      <c r="B37" s="8" t="s">
        <v>50</v>
      </c>
      <c r="C37" s="8" t="s">
        <v>45</v>
      </c>
      <c r="D37" s="8" t="s">
        <v>46</v>
      </c>
      <c r="E37" s="11">
        <f>SUMIFS(tbl_tb[Amount],tbl_tb[Period],date_cy,tbl_tb[Account],tbl_map[[#This Row],[PerTB]])</f>
        <v>-5341.95</v>
      </c>
      <c r="F37" s="11">
        <f>SUMIFS(tbl_tb[Amount],tbl_tb[Period],date_py,tbl_tb[Account],tbl_map[[#This Row],[PerTB]])</f>
        <v>-431.25</v>
      </c>
    </row>
    <row r="38" spans="2:6" ht="15">
      <c r="B38" s="8" t="s">
        <v>51</v>
      </c>
      <c r="C38" s="8" t="s">
        <v>45</v>
      </c>
      <c r="D38" s="8" t="s">
        <v>46</v>
      </c>
      <c r="E38" s="11">
        <f>SUMIFS(tbl_tb[Amount],tbl_tb[Period],date_cy,tbl_tb[Account],tbl_map[[#This Row],[PerTB]])</f>
        <v>-3887.21</v>
      </c>
      <c r="F38" s="11">
        <f>SUMIFS(tbl_tb[Amount],tbl_tb[Period],date_py,tbl_tb[Account],tbl_map[[#This Row],[PerTB]])</f>
        <v>-1328.5</v>
      </c>
    </row>
    <row r="39" spans="2:6" ht="15">
      <c r="B39" s="8" t="s">
        <v>52</v>
      </c>
      <c r="C39" s="8" t="s">
        <v>45</v>
      </c>
      <c r="D39" s="8" t="s">
        <v>46</v>
      </c>
      <c r="E39" s="11">
        <f>SUMIFS(tbl_tb[Amount],tbl_tb[Period],date_cy,tbl_tb[Account],tbl_map[[#This Row],[PerTB]])</f>
        <v>-24567</v>
      </c>
      <c r="F39" s="11">
        <f>SUMIFS(tbl_tb[Amount],tbl_tb[Period],date_py,tbl_tb[Account],tbl_map[[#This Row],[PerTB]])</f>
        <v>-2000</v>
      </c>
    </row>
    <row r="40" spans="2:6" ht="15">
      <c r="B40" s="8" t="s">
        <v>53</v>
      </c>
      <c r="C40" s="8" t="s">
        <v>45</v>
      </c>
      <c r="D40" s="8" t="s">
        <v>46</v>
      </c>
      <c r="E40" s="11">
        <f>SUMIFS(tbl_tb[Amount],tbl_tb[Period],date_cy,tbl_tb[Account],tbl_map[[#This Row],[PerTB]])</f>
        <v>-3564.5</v>
      </c>
      <c r="F40" s="11">
        <f>SUMIFS(tbl_tb[Amount],tbl_tb[Period],date_py,tbl_tb[Account],tbl_map[[#This Row],[PerTB]])</f>
        <v>-400</v>
      </c>
    </row>
    <row r="41" spans="2:6" ht="15">
      <c r="B41" s="8" t="s">
        <v>54</v>
      </c>
      <c r="C41" s="8" t="s">
        <v>45</v>
      </c>
      <c r="D41" s="8" t="s">
        <v>55</v>
      </c>
      <c r="E41" s="11">
        <f>SUMIFS(tbl_tb[Amount],tbl_tb[Period],date_cy,tbl_tb[Account],tbl_map[[#This Row],[PerTB]])</f>
        <v>-815</v>
      </c>
      <c r="F41" s="11">
        <f>SUMIFS(tbl_tb[Amount],tbl_tb[Period],date_py,tbl_tb[Account],tbl_map[[#This Row],[PerTB]])</f>
        <v>0</v>
      </c>
    </row>
    <row r="42" spans="2:6" ht="15">
      <c r="B42" s="8" t="s">
        <v>56</v>
      </c>
      <c r="C42" s="8" t="s">
        <v>45</v>
      </c>
      <c r="D42" s="8" t="s">
        <v>55</v>
      </c>
      <c r="E42" s="11">
        <f>SUMIFS(tbl_tb[Amount],tbl_tb[Period],date_cy,tbl_tb[Account],tbl_map[[#This Row],[PerTB]])</f>
        <v>-383.03</v>
      </c>
      <c r="F42" s="11">
        <f>SUMIFS(tbl_tb[Amount],tbl_tb[Period],date_py,tbl_tb[Account],tbl_map[[#This Row],[PerTB]])</f>
        <v>-164.06</v>
      </c>
    </row>
    <row r="43" spans="2:6" ht="15">
      <c r="B43" s="8" t="s">
        <v>57</v>
      </c>
      <c r="C43" s="8" t="s">
        <v>45</v>
      </c>
      <c r="D43" s="8" t="s">
        <v>55</v>
      </c>
      <c r="E43" s="11">
        <f>SUMIFS(tbl_tb[Amount],tbl_tb[Period],date_cy,tbl_tb[Account],tbl_map[[#This Row],[PerTB]])</f>
        <v>-6640</v>
      </c>
      <c r="F43" s="11">
        <f>SUMIFS(tbl_tb[Amount],tbl_tb[Period],date_py,tbl_tb[Account],tbl_map[[#This Row],[PerTB]])</f>
        <v>-485</v>
      </c>
    </row>
    <row r="44" spans="2:6" ht="15">
      <c r="B44" s="8" t="s">
        <v>58</v>
      </c>
      <c r="C44" s="8" t="s">
        <v>45</v>
      </c>
      <c r="D44" s="8" t="s">
        <v>58</v>
      </c>
      <c r="E44" s="11">
        <f>SUMIFS(tbl_tb[Amount],tbl_tb[Period],date_cy,tbl_tb[Account],tbl_map[[#This Row],[PerTB]])</f>
        <v>4220.25</v>
      </c>
      <c r="F44" s="11">
        <f>SUMIFS(tbl_tb[Amount],tbl_tb[Period],date_py,tbl_tb[Account],tbl_map[[#This Row],[PerTB]])</f>
        <v>1215.8</v>
      </c>
    </row>
    <row r="45" spans="2:6" ht="15">
      <c r="B45" s="8" t="s">
        <v>59</v>
      </c>
      <c r="C45" s="8" t="s">
        <v>45</v>
      </c>
      <c r="D45" s="8" t="s">
        <v>60</v>
      </c>
      <c r="E45" s="11">
        <f>SUMIFS(tbl_tb[Amount],tbl_tb[Period],date_cy,tbl_tb[Account],tbl_map[[#This Row],[PerTB]])</f>
        <v>37820.65</v>
      </c>
      <c r="F45" s="11">
        <f>SUMIFS(tbl_tb[Amount],tbl_tb[Period],date_py,tbl_tb[Account],tbl_map[[#This Row],[PerTB]])</f>
        <v>0</v>
      </c>
    </row>
    <row r="46" spans="2:6" ht="15">
      <c r="B46" s="8" t="s">
        <v>61</v>
      </c>
      <c r="C46" s="8" t="s">
        <v>45</v>
      </c>
      <c r="D46" s="8" t="s">
        <v>62</v>
      </c>
      <c r="E46" s="11">
        <f>SUMIFS(tbl_tb[Amount],tbl_tb[Period],date_cy,tbl_tb[Account],tbl_map[[#This Row],[PerTB]])</f>
        <v>427.62</v>
      </c>
      <c r="F46" s="11">
        <f>SUMIFS(tbl_tb[Amount],tbl_tb[Period],date_py,tbl_tb[Account],tbl_map[[#This Row],[PerTB]])</f>
        <v>0</v>
      </c>
    </row>
    <row r="47" spans="2:6" ht="15">
      <c r="B47" s="8" t="s">
        <v>63</v>
      </c>
      <c r="C47" s="8" t="s">
        <v>45</v>
      </c>
      <c r="D47" s="8" t="s">
        <v>62</v>
      </c>
      <c r="E47" s="11">
        <f>SUMIFS(tbl_tb[Amount],tbl_tb[Period],date_cy,tbl_tb[Account],tbl_map[[#This Row],[PerTB]])</f>
        <v>55.93</v>
      </c>
      <c r="F47" s="11">
        <f>SUMIFS(tbl_tb[Amount],tbl_tb[Period],date_py,tbl_tb[Account],tbl_map[[#This Row],[PerTB]])</f>
        <v>329.74</v>
      </c>
    </row>
    <row r="48" spans="2:6" ht="15">
      <c r="B48" s="8" t="s">
        <v>64</v>
      </c>
      <c r="C48" s="8" t="s">
        <v>45</v>
      </c>
      <c r="D48" s="8" t="s">
        <v>62</v>
      </c>
      <c r="E48" s="11">
        <f>SUMIFS(tbl_tb[Amount],tbl_tb[Period],date_cy,tbl_tb[Account],tbl_map[[#This Row],[PerTB]])</f>
        <v>254.5</v>
      </c>
      <c r="F48" s="11">
        <f>SUMIFS(tbl_tb[Amount],tbl_tb[Period],date_py,tbl_tb[Account],tbl_map[[#This Row],[PerTB]])</f>
        <v>0</v>
      </c>
    </row>
    <row r="49" spans="2:6" ht="15">
      <c r="B49" s="8" t="s">
        <v>65</v>
      </c>
      <c r="C49" s="8" t="s">
        <v>45</v>
      </c>
      <c r="D49" s="8" t="s">
        <v>66</v>
      </c>
      <c r="E49" s="11">
        <f>SUMIFS(tbl_tb[Amount],tbl_tb[Period],date_cy,tbl_tb[Account],tbl_map[[#This Row],[PerTB]])</f>
        <v>73.5</v>
      </c>
      <c r="F49" s="11">
        <f>SUMIFS(tbl_tb[Amount],tbl_tb[Period],date_py,tbl_tb[Account],tbl_map[[#This Row],[PerTB]])</f>
        <v>76.5</v>
      </c>
    </row>
    <row r="50" spans="2:6" ht="15">
      <c r="B50" s="8" t="s">
        <v>67</v>
      </c>
      <c r="C50" s="8" t="s">
        <v>45</v>
      </c>
      <c r="D50" s="8" t="s">
        <v>68</v>
      </c>
      <c r="E50" s="11">
        <f>SUMIFS(tbl_tb[Amount],tbl_tb[Period],date_cy,tbl_tb[Account],tbl_map[[#This Row],[PerTB]])</f>
        <v>15</v>
      </c>
      <c r="F50" s="11">
        <f>SUMIFS(tbl_tb[Amount],tbl_tb[Period],date_py,tbl_tb[Account],tbl_map[[#This Row],[PerTB]])</f>
        <v>0</v>
      </c>
    </row>
    <row r="51" spans="2:6" ht="15">
      <c r="B51" s="8" t="s">
        <v>68</v>
      </c>
      <c r="C51" s="8" t="s">
        <v>45</v>
      </c>
      <c r="D51" s="8" t="s">
        <v>68</v>
      </c>
      <c r="E51" s="11">
        <f>SUMIFS(tbl_tb[Amount],tbl_tb[Period],date_cy,tbl_tb[Account],tbl_map[[#This Row],[PerTB]])</f>
        <v>200</v>
      </c>
      <c r="F51" s="11">
        <f>SUMIFS(tbl_tb[Amount],tbl_tb[Period],date_py,tbl_tb[Account],tbl_map[[#This Row],[PerTB]])</f>
        <v>0</v>
      </c>
    </row>
    <row r="52" spans="2:6" ht="15">
      <c r="B52" s="8" t="s">
        <v>69</v>
      </c>
      <c r="C52" s="8" t="s">
        <v>45</v>
      </c>
      <c r="D52" s="8" t="s">
        <v>68</v>
      </c>
      <c r="E52" s="11">
        <f>SUMIFS(tbl_tb[Amount],tbl_tb[Period],date_cy,tbl_tb[Account],tbl_map[[#This Row],[PerTB]])</f>
        <v>150</v>
      </c>
      <c r="F52" s="11">
        <f>SUMIFS(tbl_tb[Amount],tbl_tb[Period],date_py,tbl_tb[Account],tbl_map[[#This Row],[PerTB]])</f>
        <v>0</v>
      </c>
    </row>
    <row r="53" spans="2:6" ht="15">
      <c r="B53" s="8" t="s">
        <v>70</v>
      </c>
      <c r="C53" s="8" t="s">
        <v>45</v>
      </c>
      <c r="D53" s="8" t="s">
        <v>68</v>
      </c>
      <c r="E53" s="11">
        <f>SUMIFS(tbl_tb[Amount],tbl_tb[Period],date_cy,tbl_tb[Account],tbl_map[[#This Row],[PerTB]])</f>
        <v>855</v>
      </c>
      <c r="F53" s="11">
        <f>SUMIFS(tbl_tb[Amount],tbl_tb[Period],date_py,tbl_tb[Account],tbl_map[[#This Row],[PerTB]])</f>
        <v>0</v>
      </c>
    </row>
    <row r="54" spans="2:6" ht="15">
      <c r="B54" s="8" t="s">
        <v>71</v>
      </c>
      <c r="C54" s="8" t="s">
        <v>45</v>
      </c>
      <c r="D54" s="8" t="s">
        <v>68</v>
      </c>
      <c r="E54" s="11">
        <f>SUMIFS(tbl_tb[Amount],tbl_tb[Period],date_cy,tbl_tb[Account],tbl_map[[#This Row],[PerTB]])</f>
        <v>630</v>
      </c>
      <c r="F54" s="11">
        <f>SUMIFS(tbl_tb[Amount],tbl_tb[Period],date_py,tbl_tb[Account],tbl_map[[#This Row],[PerTB]])</f>
        <v>0</v>
      </c>
    </row>
    <row r="55" spans="2:6" ht="15">
      <c r="B55" s="8" t="s">
        <v>72</v>
      </c>
      <c r="C55" s="8" t="s">
        <v>45</v>
      </c>
      <c r="D55" s="8" t="s">
        <v>73</v>
      </c>
      <c r="E55" s="11">
        <f>SUMIFS(tbl_tb[Amount],tbl_tb[Period],date_cy,tbl_tb[Account],tbl_map[[#This Row],[PerTB]])</f>
        <v>470.91</v>
      </c>
      <c r="F55" s="11">
        <f>SUMIFS(tbl_tb[Amount],tbl_tb[Period],date_py,tbl_tb[Account],tbl_map[[#This Row],[PerTB]])</f>
        <v>381.42</v>
      </c>
    </row>
    <row r="56" spans="2:6" ht="15">
      <c r="B56" s="8" t="s">
        <v>74</v>
      </c>
      <c r="C56" s="8" t="s">
        <v>45</v>
      </c>
      <c r="D56" s="8" t="s">
        <v>75</v>
      </c>
      <c r="E56" s="11">
        <f>SUMIFS(tbl_tb[Amount],tbl_tb[Period],date_cy,tbl_tb[Account],tbl_map[[#This Row],[PerTB]])</f>
        <v>0</v>
      </c>
      <c r="F56" s="11">
        <f>SUMIFS(tbl_tb[Amount],tbl_tb[Period],date_py,tbl_tb[Account],tbl_map[[#This Row],[PerTB]])</f>
        <v>1150</v>
      </c>
    </row>
    <row r="57" spans="2:6" ht="15">
      <c r="B57" s="8" t="s">
        <v>76</v>
      </c>
      <c r="C57" s="8" t="s">
        <v>45</v>
      </c>
      <c r="D57" s="8" t="s">
        <v>75</v>
      </c>
      <c r="E57" s="11">
        <f>SUMIFS(tbl_tb[Amount],tbl_tb[Period],date_cy,tbl_tb[Account],tbl_map[[#This Row],[PerTB]])</f>
        <v>1150</v>
      </c>
      <c r="F57" s="11">
        <f>SUMIFS(tbl_tb[Amount],tbl_tb[Period],date_py,tbl_tb[Account],tbl_map[[#This Row],[PerTB]])</f>
        <v>0</v>
      </c>
    </row>
    <row r="58" spans="2:6" ht="15">
      <c r="B58" s="8" t="s">
        <v>77</v>
      </c>
      <c r="C58" s="8" t="s">
        <v>45</v>
      </c>
      <c r="D58" s="8" t="s">
        <v>75</v>
      </c>
      <c r="E58" s="11">
        <f>SUMIFS(tbl_tb[Amount],tbl_tb[Period],date_cy,tbl_tb[Account],tbl_map[[#This Row],[PerTB]])</f>
        <v>902.25</v>
      </c>
      <c r="F58" s="11">
        <f>SUMIFS(tbl_tb[Amount],tbl_tb[Period],date_py,tbl_tb[Account],tbl_map[[#This Row],[PerTB]])</f>
        <v>0</v>
      </c>
    </row>
    <row r="59" spans="2:6" ht="15">
      <c r="B59" s="8" t="s">
        <v>78</v>
      </c>
      <c r="C59" s="8" t="s">
        <v>45</v>
      </c>
      <c r="D59" s="8" t="s">
        <v>75</v>
      </c>
      <c r="E59" s="11">
        <f>SUMIFS(tbl_tb[Amount],tbl_tb[Period],date_cy,tbl_tb[Account],tbl_map[[#This Row],[PerTB]])</f>
        <v>0</v>
      </c>
      <c r="F59" s="11">
        <f>SUMIFS(tbl_tb[Amount],tbl_tb[Period],date_py,tbl_tb[Account],tbl_map[[#This Row],[PerTB]])</f>
        <v>0</v>
      </c>
    </row>
    <row r="60" spans="2:6" ht="15">
      <c r="B60" s="8" t="s">
        <v>79</v>
      </c>
      <c r="C60" s="8" t="s">
        <v>45</v>
      </c>
      <c r="D60" s="8" t="s">
        <v>75</v>
      </c>
      <c r="E60" s="11">
        <f>SUMIFS(tbl_tb[Amount],tbl_tb[Period],date_cy,tbl_tb[Account],tbl_map[[#This Row],[PerTB]])</f>
        <v>375</v>
      </c>
      <c r="F60" s="11">
        <f>SUMIFS(tbl_tb[Amount],tbl_tb[Period],date_py,tbl_tb[Account],tbl_map[[#This Row],[PerTB]])</f>
        <v>0</v>
      </c>
    </row>
    <row r="61" spans="2:6" ht="15">
      <c r="B61" s="8" t="s">
        <v>80</v>
      </c>
      <c r="C61" s="8" t="s">
        <v>45</v>
      </c>
      <c r="D61" s="8" t="s">
        <v>75</v>
      </c>
      <c r="E61" s="11">
        <f>SUMIFS(tbl_tb[Amount],tbl_tb[Period],date_cy,tbl_tb[Account],tbl_map[[#This Row],[PerTB]])</f>
        <v>0</v>
      </c>
      <c r="F61" s="11">
        <f>SUMIFS(tbl_tb[Amount],tbl_tb[Period],date_py,tbl_tb[Account],tbl_map[[#This Row],[PerTB]])</f>
        <v>0</v>
      </c>
    </row>
    <row r="62" spans="2:6" ht="15">
      <c r="B62" s="8" t="s">
        <v>81</v>
      </c>
      <c r="C62" s="8" t="s">
        <v>45</v>
      </c>
      <c r="D62" s="8" t="s">
        <v>82</v>
      </c>
      <c r="E62" s="11">
        <f>SUMIFS(tbl_tb[Amount],tbl_tb[Period],date_cy,tbl_tb[Account],tbl_map[[#This Row],[PerTB]])</f>
        <v>375</v>
      </c>
      <c r="F62" s="11">
        <f>SUMIFS(tbl_tb[Amount],tbl_tb[Period],date_py,tbl_tb[Account],tbl_map[[#This Row],[PerTB]])</f>
        <v>0</v>
      </c>
    </row>
    <row r="63" spans="2:6" ht="15">
      <c r="B63" s="8" t="s">
        <v>83</v>
      </c>
      <c r="C63" s="8" t="s">
        <v>45</v>
      </c>
      <c r="D63" s="8" t="s">
        <v>83</v>
      </c>
      <c r="E63" s="11">
        <f>SUMIFS(tbl_tb[Amount],tbl_tb[Period],date_cy,tbl_tb[Account],tbl_map[[#This Row],[PerTB]])</f>
        <v>2400</v>
      </c>
      <c r="F63" s="11">
        <f>SUMIFS(tbl_tb[Amount],tbl_tb[Period],date_py,tbl_tb[Account],tbl_map[[#This Row],[PerTB]])</f>
        <v>0</v>
      </c>
    </row>
    <row r="64" spans="2:6" ht="15">
      <c r="B64" s="8" t="s">
        <v>84</v>
      </c>
      <c r="C64" s="8" t="s">
        <v>45</v>
      </c>
      <c r="D64" s="8" t="s">
        <v>85</v>
      </c>
      <c r="E64" s="11">
        <f>SUMIFS(tbl_tb[Amount],tbl_tb[Period],date_cy,tbl_tb[Account],tbl_map[[#This Row],[PerTB]])</f>
        <v>45</v>
      </c>
      <c r="F64" s="11">
        <f>SUMIFS(tbl_tb[Amount],tbl_tb[Period],date_py,tbl_tb[Account],tbl_map[[#This Row],[PerTB]])</f>
        <v>0</v>
      </c>
    </row>
    <row r="65" spans="2:6" ht="15">
      <c r="B65" s="8" t="s">
        <v>86</v>
      </c>
      <c r="C65" s="8" t="s">
        <v>45</v>
      </c>
      <c r="D65" s="8" t="s">
        <v>85</v>
      </c>
      <c r="E65" s="11">
        <f>SUMIFS(tbl_tb[Amount],tbl_tb[Period],date_cy,tbl_tb[Account],tbl_map[[#This Row],[PerTB]])</f>
        <v>735</v>
      </c>
      <c r="F65" s="11">
        <f>SUMIFS(tbl_tb[Amount],tbl_tb[Period],date_py,tbl_tb[Account],tbl_map[[#This Row],[PerTB]])</f>
        <v>0</v>
      </c>
    </row>
    <row r="66" spans="2:6" ht="15">
      <c r="B66" s="8" t="s">
        <v>87</v>
      </c>
      <c r="C66" s="8" t="s">
        <v>45</v>
      </c>
      <c r="D66" s="8" t="s">
        <v>85</v>
      </c>
      <c r="E66" s="11">
        <f>SUMIFS(tbl_tb[Amount],tbl_tb[Period],date_cy,tbl_tb[Account],tbl_map[[#This Row],[PerTB]])</f>
        <v>0</v>
      </c>
      <c r="F66" s="11">
        <f>SUMIFS(tbl_tb[Amount],tbl_tb[Period],date_py,tbl_tb[Account],tbl_map[[#This Row],[PerTB]])</f>
        <v>0</v>
      </c>
    </row>
    <row r="67" spans="2:6" ht="15">
      <c r="B67" s="8" t="s">
        <v>88</v>
      </c>
      <c r="C67" s="8" t="s">
        <v>45</v>
      </c>
      <c r="D67" s="8" t="s">
        <v>85</v>
      </c>
      <c r="E67" s="11">
        <f>SUMIFS(tbl_tb[Amount],tbl_tb[Period],date_cy,tbl_tb[Account],tbl_map[[#This Row],[PerTB]])</f>
        <v>424.42</v>
      </c>
      <c r="F67" s="11">
        <f>SUMIFS(tbl_tb[Amount],tbl_tb[Period],date_py,tbl_tb[Account],tbl_map[[#This Row],[PerTB]])</f>
        <v>414.09</v>
      </c>
    </row>
    <row r="68" spans="2:6" ht="15">
      <c r="B68" s="8" t="s">
        <v>89</v>
      </c>
      <c r="C68" s="8" t="s">
        <v>45</v>
      </c>
      <c r="D68" s="8" t="s">
        <v>85</v>
      </c>
      <c r="E68" s="11">
        <f>SUMIFS(tbl_tb[Amount],tbl_tb[Period],date_cy,tbl_tb[Account],tbl_map[[#This Row],[PerTB]])</f>
        <v>149.96</v>
      </c>
      <c r="F68" s="11">
        <f>SUMIFS(tbl_tb[Amount],tbl_tb[Period],date_py,tbl_tb[Account],tbl_map[[#This Row],[PerTB]])</f>
        <v>170.76</v>
      </c>
    </row>
    <row r="69" spans="2:6" ht="15">
      <c r="B69" s="8" t="s">
        <v>90</v>
      </c>
      <c r="C69" s="8" t="s">
        <v>45</v>
      </c>
      <c r="D69" s="8" t="s">
        <v>85</v>
      </c>
      <c r="E69" s="11">
        <f>SUMIFS(tbl_tb[Amount],tbl_tb[Period],date_cy,tbl_tb[Account],tbl_map[[#This Row],[PerTB]])</f>
        <v>81.17</v>
      </c>
      <c r="F69" s="11">
        <f>SUMIFS(tbl_tb[Amount],tbl_tb[Period],date_py,tbl_tb[Account],tbl_map[[#This Row],[PerTB]])</f>
        <v>71.55</v>
      </c>
    </row>
    <row r="70" spans="2:6" ht="15">
      <c r="B70" s="8" t="s">
        <v>91</v>
      </c>
      <c r="C70" s="8" t="s">
        <v>45</v>
      </c>
      <c r="D70" s="8" t="s">
        <v>85</v>
      </c>
      <c r="E70" s="11">
        <f>SUMIFS(tbl_tb[Amount],tbl_tb[Period],date_cy,tbl_tb[Account],tbl_map[[#This Row],[PerTB]])</f>
        <v>-762.5</v>
      </c>
      <c r="F70" s="11">
        <f>SUMIFS(tbl_tb[Amount],tbl_tb[Period],date_py,tbl_tb[Account],tbl_map[[#This Row],[PerTB]])</f>
        <v>0</v>
      </c>
    </row>
    <row r="71" spans="2:6" ht="15">
      <c r="B71" s="8" t="s">
        <v>92</v>
      </c>
      <c r="C71" s="8" t="s">
        <v>45</v>
      </c>
      <c r="D71" s="8" t="s">
        <v>85</v>
      </c>
      <c r="E71" s="11">
        <f>SUMIFS(tbl_tb[Amount],tbl_tb[Period],date_cy,tbl_tb[Account],tbl_map[[#This Row],[PerTB]])</f>
        <v>-91.11</v>
      </c>
      <c r="F71" s="11">
        <f>SUMIFS(tbl_tb[Amount],tbl_tb[Period],date_py,tbl_tb[Account],tbl_map[[#This Row],[PerTB]])</f>
        <v>-6.58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2"/>
  <sheetViews>
    <sheetView workbookViewId="0" topLeftCell="A1"/>
  </sheetViews>
  <sheetFormatPr defaultColWidth="9.140625" defaultRowHeight="15"/>
  <cols>
    <col min="1" max="1" width="9.140625" style="8" customWidth="1"/>
    <col min="2" max="2" width="11.57421875" style="8" customWidth="1"/>
    <col min="3" max="3" width="23.140625" style="8" customWidth="1"/>
    <col min="4" max="5" width="12.7109375" style="8" customWidth="1"/>
    <col min="6" max="16384" width="9.140625" style="8" customWidth="1"/>
  </cols>
  <sheetData>
    <row r="1" ht="18">
      <c r="C1" s="12" t="s">
        <v>125</v>
      </c>
    </row>
    <row r="2" ht="15">
      <c r="C2" s="13" t="s">
        <v>97</v>
      </c>
    </row>
    <row r="3" ht="15">
      <c r="C3" s="13" t="str">
        <f>TEXT(date_ye,"mmmm dd, yyyy")&amp;" and "&amp;date_py</f>
        <v>December 31, 2013 and 2012</v>
      </c>
    </row>
    <row r="8" ht="15">
      <c r="C8" s="14" t="s">
        <v>98</v>
      </c>
    </row>
    <row r="10" spans="4:5" ht="15">
      <c r="D10" s="15">
        <f>date_cy</f>
        <v>2013</v>
      </c>
      <c r="E10" s="15">
        <f>date_py</f>
        <v>2012</v>
      </c>
    </row>
    <row r="14" ht="15">
      <c r="B14" s="16" t="s">
        <v>99</v>
      </c>
    </row>
    <row r="15" spans="2:5" ht="15">
      <c r="B15" s="17" t="s">
        <v>6</v>
      </c>
      <c r="D15" s="18">
        <f>SUMIFS(tbl_map[CurrentYear],tbl_map[PerBSheet],B15)</f>
        <v>105462.75</v>
      </c>
      <c r="E15" s="18">
        <f>SUMIFS(tbl_map[PriorYear],tbl_map[PerBSheet],B15)</f>
        <v>218838.97</v>
      </c>
    </row>
    <row r="16" spans="2:5" ht="15">
      <c r="B16" s="17" t="s">
        <v>17</v>
      </c>
      <c r="D16" s="19">
        <f>SUMIFS(tbl_map[CurrentYear],tbl_map[PerBSheet],B16)</f>
        <v>35810.02</v>
      </c>
      <c r="E16" s="19">
        <f>SUMIFS(tbl_map[PriorYear],tbl_map[PerBSheet],B16)</f>
        <v>3583.04</v>
      </c>
    </row>
    <row r="17" spans="2:5" ht="15">
      <c r="B17" s="17" t="s">
        <v>5</v>
      </c>
      <c r="D17" s="19">
        <f>SUMIFS(tbl_map[CurrentYear],tbl_map[PerBSheet],B17)</f>
        <v>600</v>
      </c>
      <c r="E17" s="19">
        <f>SUMIFS(tbl_map[PriorYear],tbl_map[PerBSheet],B17)</f>
        <v>0</v>
      </c>
    </row>
    <row r="18" spans="2:5" ht="15">
      <c r="B18" s="17" t="s">
        <v>10</v>
      </c>
      <c r="D18" s="19">
        <f>SUMIFS(tbl_map[CurrentYear],tbl_map[PerBSheet],B18)</f>
        <v>6937.08</v>
      </c>
      <c r="E18" s="19">
        <f>SUMIFS(tbl_map[PriorYear],tbl_map[PerBSheet],B18)</f>
        <v>2163.9</v>
      </c>
    </row>
    <row r="19" spans="2:5" ht="15">
      <c r="B19" s="17" t="s">
        <v>22</v>
      </c>
      <c r="D19" s="19">
        <f>SUMIFS(tbl_map[CurrentYear],tbl_map[PerBSheet],B19)</f>
        <v>110</v>
      </c>
      <c r="E19" s="19">
        <f>SUMIFS(tbl_map[PriorYear],tbl_map[PerBSheet],B19)</f>
        <v>0</v>
      </c>
    </row>
    <row r="20" spans="2:5" ht="3.95" customHeight="1">
      <c r="B20" s="17"/>
      <c r="D20" s="20"/>
      <c r="E20" s="20"/>
    </row>
    <row r="21" spans="2:5" ht="15">
      <c r="B21" s="21" t="s">
        <v>100</v>
      </c>
      <c r="D21" s="19">
        <f>SUBTOTAL(9,D14:D20)</f>
        <v>148919.84999999998</v>
      </c>
      <c r="E21" s="19">
        <f>SUBTOTAL(9,E14:E20)</f>
        <v>224585.91</v>
      </c>
    </row>
    <row r="22" spans="2:5" ht="15">
      <c r="B22" s="17"/>
      <c r="D22" s="19"/>
      <c r="E22" s="19"/>
    </row>
    <row r="23" spans="4:5" ht="15">
      <c r="D23" s="19"/>
      <c r="E23" s="19"/>
    </row>
    <row r="24" spans="2:5" ht="15">
      <c r="B24" s="8" t="s">
        <v>101</v>
      </c>
      <c r="D24" s="19"/>
      <c r="E24" s="19"/>
    </row>
    <row r="25" spans="2:5" ht="15">
      <c r="B25" s="8" t="s">
        <v>26</v>
      </c>
      <c r="D25" s="19">
        <f>SUMIFS(tbl_map[CurrentYear],tbl_map[PerBSheet],B25)</f>
        <v>13750</v>
      </c>
      <c r="E25" s="19">
        <f>SUMIFS(tbl_map[PriorYear],tbl_map[PerBSheet],B25)</f>
        <v>13750</v>
      </c>
    </row>
    <row r="26" spans="2:5" ht="15">
      <c r="B26" s="8" t="s">
        <v>24</v>
      </c>
      <c r="D26" s="19">
        <f>SUMIFS(tbl_map[CurrentYear],tbl_map[PerBSheet],B26)</f>
        <v>-1725</v>
      </c>
      <c r="E26" s="19">
        <f>SUMIFS(tbl_map[PriorYear],tbl_map[PerBSheet],B26)</f>
        <v>-1150</v>
      </c>
    </row>
    <row r="27" spans="4:5" ht="3.95" customHeight="1">
      <c r="D27" s="20"/>
      <c r="E27" s="20"/>
    </row>
    <row r="28" spans="2:5" ht="15">
      <c r="B28" s="17" t="s">
        <v>102</v>
      </c>
      <c r="D28" s="19">
        <f>SUBTOTAL(9,D25:D27)</f>
        <v>12025</v>
      </c>
      <c r="E28" s="19">
        <f>SUBTOTAL(9,E25:E27)</f>
        <v>12600</v>
      </c>
    </row>
    <row r="29" spans="4:5" ht="3.95" customHeight="1">
      <c r="D29" s="20"/>
      <c r="E29" s="20"/>
    </row>
    <row r="30" spans="4:5" ht="15">
      <c r="D30" s="19"/>
      <c r="E30" s="19"/>
    </row>
    <row r="31" spans="2:5" ht="15">
      <c r="B31" s="21" t="s">
        <v>103</v>
      </c>
      <c r="D31" s="18">
        <f>SUBTOTAL(9,D14:D30)</f>
        <v>160944.84999999998</v>
      </c>
      <c r="E31" s="18">
        <f>SUBTOTAL(9,E14:E30)</f>
        <v>237185.91</v>
      </c>
    </row>
    <row r="32" spans="2:5" ht="3.95" customHeight="1" thickBot="1">
      <c r="B32" s="22" t="s">
        <v>104</v>
      </c>
      <c r="D32" s="23"/>
      <c r="E32" s="23"/>
    </row>
    <row r="33" ht="13.5" thickTop="1"/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2"/>
  <sheetViews>
    <sheetView workbookViewId="0" topLeftCell="A1"/>
  </sheetViews>
  <sheetFormatPr defaultColWidth="9.140625" defaultRowHeight="15"/>
  <cols>
    <col min="1" max="1" width="9.140625" style="8" customWidth="1"/>
    <col min="2" max="2" width="17.57421875" style="8" customWidth="1"/>
    <col min="3" max="3" width="23.140625" style="8" customWidth="1"/>
    <col min="4" max="5" width="12.7109375" style="8" customWidth="1"/>
    <col min="6" max="16384" width="9.140625" style="8" customWidth="1"/>
  </cols>
  <sheetData>
    <row r="1" ht="18">
      <c r="C1" s="12" t="s">
        <v>125</v>
      </c>
    </row>
    <row r="2" ht="15">
      <c r="C2" s="13" t="s">
        <v>97</v>
      </c>
    </row>
    <row r="3" ht="15">
      <c r="C3" s="13" t="str">
        <f>TEXT(date_ye,"mmmm dd, yyyy")&amp;" and "&amp;date_py</f>
        <v>December 31, 2013 and 2012</v>
      </c>
    </row>
    <row r="8" ht="15">
      <c r="C8" s="14" t="s">
        <v>105</v>
      </c>
    </row>
    <row r="10" spans="4:5" ht="15">
      <c r="D10" s="15">
        <f>date_cy</f>
        <v>2013</v>
      </c>
      <c r="E10" s="15">
        <f>date_py</f>
        <v>2012</v>
      </c>
    </row>
    <row r="14" ht="15">
      <c r="B14" s="16" t="s">
        <v>106</v>
      </c>
    </row>
    <row r="15" spans="2:5" ht="15">
      <c r="B15" s="17" t="s">
        <v>27</v>
      </c>
      <c r="D15" s="18">
        <f>-SUMIFS(tbl_map[CurrentYear],tbl_map[PerBSheet],B15)</f>
        <v>4052.6800000000003</v>
      </c>
      <c r="E15" s="18">
        <f>-SUMIFS(tbl_map[PriorYear],tbl_map[PerBSheet],B15)</f>
        <v>3692.0200000000004</v>
      </c>
    </row>
    <row r="16" spans="2:5" ht="15">
      <c r="B16" s="17" t="s">
        <v>32</v>
      </c>
      <c r="D16" s="19">
        <f>-SUMIFS(tbl_map[CurrentYear],tbl_map[PerBSheet],B16)</f>
        <v>6086.97</v>
      </c>
      <c r="E16" s="19">
        <f>-SUMIFS(tbl_map[PriorYear],tbl_map[PerBSheet],B16)</f>
        <v>181.48</v>
      </c>
    </row>
    <row r="17" spans="2:5" ht="15">
      <c r="B17" s="17" t="s">
        <v>36</v>
      </c>
      <c r="D17" s="19">
        <f>-SUMIFS(tbl_map[CurrentYear],tbl_map[PerBSheet],B17)</f>
        <v>29213.030000000002</v>
      </c>
      <c r="E17" s="19">
        <f>-SUMIFS(tbl_map[PriorYear],tbl_map[PerBSheet],B17)</f>
        <v>12722.44</v>
      </c>
    </row>
    <row r="18" spans="2:5" ht="3.95" customHeight="1">
      <c r="B18" s="17"/>
      <c r="D18" s="20"/>
      <c r="E18" s="20"/>
    </row>
    <row r="19" spans="2:5" ht="15">
      <c r="B19" s="21" t="s">
        <v>107</v>
      </c>
      <c r="D19" s="19">
        <f>SUBTOTAL(9,D14:D18)</f>
        <v>39352.68000000001</v>
      </c>
      <c r="E19" s="19">
        <f>SUBTOTAL(9,E14:E18)</f>
        <v>16595.940000000002</v>
      </c>
    </row>
    <row r="20" spans="2:5" ht="15">
      <c r="B20" s="17"/>
      <c r="D20" s="19"/>
      <c r="E20" s="19"/>
    </row>
    <row r="21" spans="4:5" ht="15">
      <c r="D21" s="19"/>
      <c r="E21" s="19"/>
    </row>
    <row r="22" spans="2:5" ht="15">
      <c r="B22" s="8" t="s">
        <v>108</v>
      </c>
      <c r="D22" s="19"/>
      <c r="E22" s="19"/>
    </row>
    <row r="23" spans="2:5" ht="15">
      <c r="B23" s="17" t="s">
        <v>40</v>
      </c>
      <c r="D23" s="19">
        <f>-SUMIFS(tbl_map[CurrentYear],tbl_map[PerBSheet],B23)</f>
        <v>151970.07</v>
      </c>
      <c r="E23" s="19">
        <f>-SUMIFS(tbl_map[PriorYear],tbl_map[PerBSheet],B23)</f>
        <v>219570.7</v>
      </c>
    </row>
    <row r="24" spans="2:5" ht="15">
      <c r="B24" s="17" t="s">
        <v>42</v>
      </c>
      <c r="D24" s="19">
        <f>-SUMIFS(tbl_map[CurrentYear],tbl_map[PerBSheet],B24)</f>
        <v>-5000</v>
      </c>
      <c r="E24" s="19">
        <f>-SUMIFS(tbl_map[PriorYear],tbl_map[PerBSheet],B24)</f>
        <v>0</v>
      </c>
    </row>
    <row r="25" spans="2:5" ht="15">
      <c r="B25" s="17" t="s">
        <v>43</v>
      </c>
      <c r="D25" s="19">
        <f>-SUMIFS(tbl_map[CurrentYear],tbl_map[PerBSheet],B25)</f>
        <v>-40118.74</v>
      </c>
      <c r="E25" s="19">
        <f>-SUMIFS(tbl_map[PriorYear],tbl_map[PerBSheet],B25)</f>
        <v>-313.26</v>
      </c>
    </row>
    <row r="26" spans="2:5" ht="15">
      <c r="B26" s="17" t="s">
        <v>45</v>
      </c>
      <c r="D26" s="19">
        <f>-SUMIFS(tbl_map[CurrentYear],tbl_map[PerBSheet],B26)</f>
        <v>14740.84</v>
      </c>
      <c r="E26" s="19">
        <f>-SUMIFS(tbl_map[PriorYear],tbl_map[PerBSheet],B26)</f>
        <v>1332.5300000000004</v>
      </c>
    </row>
    <row r="27" spans="4:5" ht="3.95" customHeight="1">
      <c r="D27" s="20"/>
      <c r="E27" s="20"/>
    </row>
    <row r="28" spans="2:5" ht="15">
      <c r="B28" s="17" t="s">
        <v>109</v>
      </c>
      <c r="D28" s="19">
        <f>SUBTOTAL(9,D23:D27)</f>
        <v>121592.17000000001</v>
      </c>
      <c r="E28" s="19">
        <f>SUBTOTAL(9,E23:E27)</f>
        <v>220589.97</v>
      </c>
    </row>
    <row r="29" spans="4:5" ht="3.95" customHeight="1">
      <c r="D29" s="20"/>
      <c r="E29" s="20"/>
    </row>
    <row r="30" spans="4:5" ht="15">
      <c r="D30" s="19"/>
      <c r="E30" s="19"/>
    </row>
    <row r="31" spans="2:5" ht="15">
      <c r="B31" s="21" t="s">
        <v>110</v>
      </c>
      <c r="D31" s="18">
        <f>SUBTOTAL(9,D14:D30)</f>
        <v>160944.85</v>
      </c>
      <c r="E31" s="18">
        <f>SUBTOTAL(9,E14:E30)</f>
        <v>237185.91</v>
      </c>
    </row>
    <row r="32" spans="2:5" ht="3.95" customHeight="1" thickBot="1">
      <c r="B32" s="22" t="s">
        <v>104</v>
      </c>
      <c r="D32" s="23"/>
      <c r="E32" s="23"/>
    </row>
    <row r="33" ht="13.5" thickTop="1"/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workbookViewId="0" topLeftCell="A1"/>
  </sheetViews>
  <sheetFormatPr defaultColWidth="9.140625" defaultRowHeight="15"/>
  <cols>
    <col min="1" max="1" width="9.140625" style="8" customWidth="1"/>
    <col min="2" max="2" width="17.57421875" style="8" customWidth="1"/>
    <col min="3" max="3" width="23.140625" style="8" customWidth="1"/>
    <col min="4" max="5" width="12.7109375" style="8" customWidth="1"/>
    <col min="6" max="16384" width="9.140625" style="8" customWidth="1"/>
  </cols>
  <sheetData>
    <row r="1" ht="18">
      <c r="C1" s="12" t="s">
        <v>125</v>
      </c>
    </row>
    <row r="2" ht="15">
      <c r="C2" s="13" t="s">
        <v>111</v>
      </c>
    </row>
    <row r="3" ht="15">
      <c r="C3" s="13" t="str">
        <f>"For the Years Ended "&amp;TEXT(date_ye,"mmmm dd, yyyy")&amp;" and "&amp;date_py</f>
        <v>For the Years Ended December 31, 2013 and 2012</v>
      </c>
    </row>
    <row r="10" spans="4:5" ht="15">
      <c r="D10" s="15">
        <f>date_cy</f>
        <v>2013</v>
      </c>
      <c r="E10" s="15">
        <f>date_py</f>
        <v>2012</v>
      </c>
    </row>
    <row r="14" ht="15">
      <c r="B14" s="16" t="s">
        <v>112</v>
      </c>
    </row>
    <row r="15" spans="2:5" ht="15">
      <c r="B15" s="17" t="s">
        <v>46</v>
      </c>
      <c r="D15" s="18">
        <f>-SUMIFS(tbl_map[CurrentYear],tbl_map[PerPL],B15)</f>
        <v>57860.36</v>
      </c>
      <c r="E15" s="18">
        <f>-SUMIFS(tbl_map[PriorYear],tbl_map[PerPL],B15)</f>
        <v>4486.75</v>
      </c>
    </row>
    <row r="16" spans="2:5" ht="15">
      <c r="B16" s="17" t="s">
        <v>113</v>
      </c>
      <c r="D16" s="19">
        <f>-SUMIFS(tbl_map[CurrentYear],tbl_map[PerPL],B16)</f>
        <v>7838.03</v>
      </c>
      <c r="E16" s="19">
        <f>-SUMIFS(tbl_map[PriorYear],tbl_map[PerPL],B16)</f>
        <v>649.06</v>
      </c>
    </row>
    <row r="17" spans="2:5" ht="3.95" customHeight="1">
      <c r="B17" s="17"/>
      <c r="D17" s="20"/>
      <c r="E17" s="20"/>
    </row>
    <row r="18" spans="2:5" ht="15">
      <c r="B18" s="21" t="s">
        <v>114</v>
      </c>
      <c r="D18" s="19">
        <f>SUBTOTAL(9,D14:D17)</f>
        <v>65698.39</v>
      </c>
      <c r="E18" s="19">
        <f>SUBTOTAL(9,E14:E17)</f>
        <v>5135.8099999999995</v>
      </c>
    </row>
    <row r="19" spans="2:5" ht="15">
      <c r="B19" s="17"/>
      <c r="D19" s="19"/>
      <c r="E19" s="19"/>
    </row>
    <row r="20" spans="2:5" ht="15">
      <c r="B20" s="24" t="s">
        <v>115</v>
      </c>
      <c r="D20" s="19"/>
      <c r="E20" s="19"/>
    </row>
    <row r="21" spans="2:5" ht="15">
      <c r="B21" s="17" t="s">
        <v>58</v>
      </c>
      <c r="D21" s="19">
        <f>SUMIFS(tbl_map[CurrentYear],tbl_map[PerPL],B21)</f>
        <v>4220.25</v>
      </c>
      <c r="E21" s="19">
        <f>SUMIFS(tbl_map[PriorYear],tbl_map[PerPL],B21)</f>
        <v>1215.8</v>
      </c>
    </row>
    <row r="22" spans="2:5" ht="3.95" customHeight="1">
      <c r="B22" s="17"/>
      <c r="D22" s="20"/>
      <c r="E22" s="20"/>
    </row>
    <row r="23" spans="2:5" ht="15">
      <c r="B23" s="17" t="s">
        <v>116</v>
      </c>
      <c r="D23" s="19">
        <f>SUBTOTAL(9,D21:D22)</f>
        <v>4220.25</v>
      </c>
      <c r="E23" s="19">
        <f>SUBTOTAL(9,E21:E22)</f>
        <v>1215.8</v>
      </c>
    </row>
    <row r="24" spans="4:5" ht="3" customHeight="1">
      <c r="D24" s="20"/>
      <c r="E24" s="20"/>
    </row>
    <row r="25" spans="2:5" ht="15">
      <c r="B25" s="24" t="s">
        <v>117</v>
      </c>
      <c r="D25" s="19">
        <f>D18-D23</f>
        <v>61478.14</v>
      </c>
      <c r="E25" s="19">
        <f>E18-E23</f>
        <v>3920.0099999999993</v>
      </c>
    </row>
    <row r="26" spans="4:5" ht="15">
      <c r="D26" s="19"/>
      <c r="E26" s="19"/>
    </row>
    <row r="27" spans="2:5" ht="15">
      <c r="B27" s="8" t="s">
        <v>118</v>
      </c>
      <c r="D27" s="19"/>
      <c r="E27" s="19"/>
    </row>
    <row r="28" spans="2:5" ht="15">
      <c r="B28" s="17" t="s">
        <v>60</v>
      </c>
      <c r="D28" s="19">
        <f>SUMIFS(tbl_map[CurrentYear],tbl_map[PerPL],B28)</f>
        <v>37820.65</v>
      </c>
      <c r="E28" s="19">
        <f>SUMIFS(tbl_map[PriorYear],tbl_map[PerPL],B28)</f>
        <v>0</v>
      </c>
    </row>
    <row r="29" spans="2:5" ht="15">
      <c r="B29" s="17" t="s">
        <v>62</v>
      </c>
      <c r="D29" s="19">
        <f>SUMIFS(tbl_map[CurrentYear],tbl_map[PerPL],B29)</f>
        <v>738.05</v>
      </c>
      <c r="E29" s="19">
        <f>SUMIFS(tbl_map[PriorYear],tbl_map[PerPL],B29)</f>
        <v>329.74</v>
      </c>
    </row>
    <row r="30" spans="2:5" ht="15">
      <c r="B30" s="17" t="s">
        <v>66</v>
      </c>
      <c r="D30" s="19">
        <f>SUMIFS(tbl_map[CurrentYear],tbl_map[PerPL],B30)</f>
        <v>73.5</v>
      </c>
      <c r="E30" s="19">
        <f>SUMIFS(tbl_map[PriorYear],tbl_map[PerPL],B30)</f>
        <v>76.5</v>
      </c>
    </row>
    <row r="31" spans="2:5" ht="15">
      <c r="B31" s="17" t="s">
        <v>68</v>
      </c>
      <c r="D31" s="19">
        <f>SUMIFS(tbl_map[CurrentYear],tbl_map[PerPL],B31)</f>
        <v>1850</v>
      </c>
      <c r="E31" s="19">
        <f>SUMIFS(tbl_map[PriorYear],tbl_map[PerPL],B31)</f>
        <v>0</v>
      </c>
    </row>
    <row r="32" spans="2:5" ht="15">
      <c r="B32" s="17" t="s">
        <v>73</v>
      </c>
      <c r="D32" s="19">
        <f>SUMIFS(tbl_map[CurrentYear],tbl_map[PerPL],B32)</f>
        <v>470.91</v>
      </c>
      <c r="E32" s="19">
        <f>SUMIFS(tbl_map[PriorYear],tbl_map[PerPL],B32)</f>
        <v>381.42</v>
      </c>
    </row>
    <row r="33" spans="2:5" ht="15">
      <c r="B33" s="17" t="s">
        <v>75</v>
      </c>
      <c r="D33" s="19">
        <f>SUMIFS(tbl_map[CurrentYear],tbl_map[PerPL],B33)</f>
        <v>2427.25</v>
      </c>
      <c r="E33" s="19">
        <f>SUMIFS(tbl_map[PriorYear],tbl_map[PerPL],B33)</f>
        <v>1150</v>
      </c>
    </row>
    <row r="34" spans="2:5" ht="15">
      <c r="B34" s="17" t="s">
        <v>82</v>
      </c>
      <c r="D34" s="19">
        <f>SUMIFS(tbl_map[CurrentYear],tbl_map[PerPL],B34)</f>
        <v>375</v>
      </c>
      <c r="E34" s="19">
        <f>SUMIFS(tbl_map[PriorYear],tbl_map[PerPL],B34)</f>
        <v>0</v>
      </c>
    </row>
    <row r="35" spans="2:5" ht="15">
      <c r="B35" s="17" t="s">
        <v>83</v>
      </c>
      <c r="D35" s="19">
        <f>SUMIFS(tbl_map[CurrentYear],tbl_map[PerPL],B35)</f>
        <v>2400</v>
      </c>
      <c r="E35" s="19">
        <f>SUMIFS(tbl_map[PriorYear],tbl_map[PerPL],B35)</f>
        <v>0</v>
      </c>
    </row>
    <row r="36" spans="2:5" ht="15">
      <c r="B36" s="17" t="s">
        <v>85</v>
      </c>
      <c r="D36" s="19">
        <f>SUMIFS(tbl_map[CurrentYear],tbl_map[PerPL],B36)</f>
        <v>581.9400000000002</v>
      </c>
      <c r="E36" s="19">
        <f>SUMIFS(tbl_map[PriorYear],tbl_map[PerPL],B36)</f>
        <v>649.8199999999998</v>
      </c>
    </row>
    <row r="37" spans="4:5" ht="3.95" customHeight="1">
      <c r="D37" s="20"/>
      <c r="E37" s="20"/>
    </row>
    <row r="38" spans="2:5" ht="15">
      <c r="B38" s="17" t="s">
        <v>119</v>
      </c>
      <c r="D38" s="19">
        <f>SUBTOTAL(9,D28:D37)</f>
        <v>46737.30000000001</v>
      </c>
      <c r="E38" s="19">
        <f>SUBTOTAL(9,E28:E37)</f>
        <v>2587.48</v>
      </c>
    </row>
    <row r="39" spans="4:5" ht="3.95" customHeight="1">
      <c r="D39" s="20"/>
      <c r="E39" s="20"/>
    </row>
    <row r="40" spans="4:5" ht="15">
      <c r="D40" s="19"/>
      <c r="E40" s="19"/>
    </row>
    <row r="41" spans="2:5" ht="15">
      <c r="B41" s="21" t="s">
        <v>45</v>
      </c>
      <c r="D41" s="18">
        <f>D25-D38</f>
        <v>14740.83999999999</v>
      </c>
      <c r="E41" s="18">
        <f>E25-E38</f>
        <v>1332.5299999999993</v>
      </c>
    </row>
    <row r="42" spans="2:5" ht="3.95" customHeight="1" thickBot="1">
      <c r="B42" s="22" t="s">
        <v>104</v>
      </c>
      <c r="D42" s="23"/>
      <c r="E42" s="23"/>
    </row>
    <row r="43" ht="13.5" thickTop="1"/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 topLeftCell="A1"/>
  </sheetViews>
  <sheetFormatPr defaultColWidth="9.140625" defaultRowHeight="15"/>
  <cols>
    <col min="1" max="1" width="10.8515625" style="0" customWidth="1"/>
    <col min="6" max="6" width="10.00390625" style="0" bestFit="1" customWidth="1"/>
    <col min="7" max="8" width="12.00390625" style="0" customWidth="1"/>
  </cols>
  <sheetData>
    <row r="1" spans="1:8" ht="24" thickBot="1">
      <c r="A1" s="1" t="s">
        <v>126</v>
      </c>
      <c r="B1" s="2"/>
      <c r="C1" s="2"/>
      <c r="D1" s="2"/>
      <c r="E1" s="2"/>
      <c r="F1" s="2"/>
      <c r="G1" s="2"/>
      <c r="H1" s="2"/>
    </row>
    <row r="2" ht="18.75">
      <c r="A2" s="3" t="s">
        <v>0</v>
      </c>
    </row>
    <row r="4" spans="1:2" ht="15">
      <c r="A4" s="4" t="s">
        <v>1</v>
      </c>
      <c r="B4" t="s">
        <v>127</v>
      </c>
    </row>
    <row r="6" spans="1:6" ht="15">
      <c r="A6" s="4" t="s">
        <v>128</v>
      </c>
      <c r="B6" t="s">
        <v>130</v>
      </c>
      <c r="F6" t="b">
        <f>AND(B:B)</f>
        <v>1</v>
      </c>
    </row>
    <row r="9" spans="1:8" ht="15">
      <c r="A9" s="4" t="s">
        <v>129</v>
      </c>
      <c r="B9" t="b">
        <f>AND(G13=0,H13=0)</f>
        <v>1</v>
      </c>
      <c r="C9" s="4" t="s">
        <v>132</v>
      </c>
      <c r="G9" s="5" t="s">
        <v>141</v>
      </c>
      <c r="H9" s="5" t="s">
        <v>142</v>
      </c>
    </row>
    <row r="10" spans="3:8" ht="15">
      <c r="C10" t="s">
        <v>103</v>
      </c>
      <c r="G10" s="28">
        <f>Assets!D31</f>
        <v>160944.84999999998</v>
      </c>
      <c r="H10" s="28">
        <f>Assets!E31</f>
        <v>237185.91</v>
      </c>
    </row>
    <row r="11" spans="3:8" ht="15">
      <c r="C11" t="s">
        <v>133</v>
      </c>
      <c r="G11" s="28">
        <f>Liabilities!D31</f>
        <v>160944.85</v>
      </c>
      <c r="H11" s="28">
        <f>Liabilities!E31</f>
        <v>237185.91</v>
      </c>
    </row>
    <row r="12" spans="7:8" ht="3.95" customHeight="1">
      <c r="G12" s="27"/>
      <c r="H12" s="27"/>
    </row>
    <row r="13" spans="3:8" ht="15">
      <c r="C13" t="s">
        <v>134</v>
      </c>
      <c r="G13" s="28">
        <f>G10-G11</f>
        <v>0</v>
      </c>
      <c r="H13" s="28">
        <f>H10-H11</f>
        <v>0</v>
      </c>
    </row>
    <row r="15" spans="2:3" ht="15">
      <c r="B15" t="b">
        <f>AND(G19=0,H19=0)</f>
        <v>1</v>
      </c>
      <c r="C15" s="4" t="s">
        <v>135</v>
      </c>
    </row>
    <row r="16" spans="3:8" ht="15">
      <c r="C16" t="s">
        <v>136</v>
      </c>
      <c r="G16" s="28">
        <f>SUMIFS(tbl_tb[Amount],tbl_tb[Period],date_cy,tbl_tb[Amount],"&gt;0")</f>
        <v>261119.74999999997</v>
      </c>
      <c r="H16" s="28">
        <f>SUMIFS(tbl_tb[Amount],tbl_tb[Period],date_py,tbl_tb[Amount],"&gt;0")</f>
        <v>242459.03</v>
      </c>
    </row>
    <row r="17" spans="3:8" ht="15">
      <c r="C17" t="s">
        <v>137</v>
      </c>
      <c r="G17" s="28">
        <f>SUMIFS(tbl_tb[Amount],tbl_tb[Period],date_cy,tbl_tb[Amount],"&lt;0")</f>
        <v>-261119.74999999997</v>
      </c>
      <c r="H17" s="28">
        <f>SUMIFS(tbl_tb[Amount],tbl_tb[Period],date_py,tbl_tb[Amount],"&lt;0")</f>
        <v>-242459.03</v>
      </c>
    </row>
    <row r="18" spans="7:8" ht="3.95" customHeight="1">
      <c r="G18" s="29"/>
      <c r="H18" s="29"/>
    </row>
    <row r="19" spans="3:8" ht="15">
      <c r="C19" t="s">
        <v>134</v>
      </c>
      <c r="G19" s="28">
        <f>G16+G17</f>
        <v>0</v>
      </c>
      <c r="H19" s="28">
        <f>H16+H17</f>
        <v>0</v>
      </c>
    </row>
    <row r="21" spans="2:3" ht="15">
      <c r="B21" t="b">
        <f>AND(G25=0,H25=0)</f>
        <v>1</v>
      </c>
      <c r="C21" s="4" t="s">
        <v>138</v>
      </c>
    </row>
    <row r="22" spans="3:8" ht="15">
      <c r="C22" t="s">
        <v>139</v>
      </c>
      <c r="G22" s="28">
        <f>PL!D41</f>
        <v>14740.83999999999</v>
      </c>
      <c r="H22" s="28">
        <f>PL!E41</f>
        <v>1332.5299999999993</v>
      </c>
    </row>
    <row r="23" spans="3:8" ht="15">
      <c r="C23" t="s">
        <v>140</v>
      </c>
      <c r="G23" s="30">
        <f>Liabilities!D26</f>
        <v>14740.84</v>
      </c>
      <c r="H23" s="30">
        <f>Liabilities!E26</f>
        <v>1332.5300000000004</v>
      </c>
    </row>
    <row r="24" spans="7:8" ht="3.95" customHeight="1">
      <c r="G24" s="27"/>
      <c r="H24" s="27"/>
    </row>
    <row r="25" spans="3:8" ht="15">
      <c r="C25" t="s">
        <v>134</v>
      </c>
      <c r="G25" s="28">
        <f>G22-G23</f>
        <v>0</v>
      </c>
      <c r="H25" s="28">
        <f>H22-H23</f>
        <v>0</v>
      </c>
    </row>
  </sheetData>
  <conditionalFormatting sqref="F6 B9 B15 B21">
    <cfRule type="cellIs" priority="1" dxfId="1" operator="equal">
      <formula>FALSE</formula>
    </cfRule>
    <cfRule type="cellIs" priority="2" dxfId="0" operator="equal">
      <formula>TRUE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Lenning</dc:creator>
  <cp:keywords/>
  <dc:description/>
  <cp:lastModifiedBy>jeff</cp:lastModifiedBy>
  <dcterms:created xsi:type="dcterms:W3CDTF">2013-03-27T17:45:58Z</dcterms:created>
  <dcterms:modified xsi:type="dcterms:W3CDTF">2013-09-23T20:16:32Z</dcterms:modified>
  <cp:category/>
  <cp:version/>
  <cp:contentType/>
  <cp:contentStatus/>
</cp:coreProperties>
</file>