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xl/webextensions/taskpanes.xml" ContentType="application/vnd.ms-office.webextensiontaskpanes+xml"/>
  <Override PartName="/xl/webextensions/webextension1.xml" ContentType="application/vnd.ms-office.webextensi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11/relationships/webextensiontaskpanes" Target="xl/webextensions/taskpanes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P:\Marketing\YouTube\Videos\Tutorials\20260422 claude 4 models\"/>
    </mc:Choice>
  </mc:AlternateContent>
  <xr:revisionPtr revIDLastSave="0" documentId="13_ncr:1_{45229BBD-9A7A-493D-B277-A5D930EEADD6}" xr6:coauthVersionLast="47" xr6:coauthVersionMax="47" xr10:uidLastSave="{00000000-0000-0000-0000-000000000000}"/>
  <bookViews>
    <workbookView xWindow="29685" yWindow="2265" windowWidth="15495" windowHeight="13380" tabRatio="656" xr2:uid="{00000000-000D-0000-FFFF-FFFF00000000}"/>
  </bookViews>
  <sheets>
    <sheet name="Excel U" sheetId="8" r:id="rId1"/>
    <sheet name="Inputs" sheetId="1" r:id="rId2"/>
    <sheet name="Model" sheetId="2" r:id="rId3"/>
    <sheet name="Exercise1" sheetId="3" r:id="rId4"/>
    <sheet name="Exercise2" sheetId="6" r:id="rId5"/>
    <sheet name="Scenarios" sheetId="4" r:id="rId6"/>
    <sheet name="Exercise3" sheetId="7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H20" i="4" l="1"/>
  <c r="H19" i="4"/>
  <c r="H18" i="4"/>
  <c r="H17" i="4"/>
  <c r="F20" i="4"/>
  <c r="F19" i="4"/>
  <c r="F18" i="4"/>
  <c r="F17" i="4"/>
  <c r="G20" i="4"/>
  <c r="G19" i="4"/>
  <c r="G18" i="4"/>
  <c r="G17" i="4"/>
  <c r="E20" i="4"/>
  <c r="E19" i="4"/>
  <c r="E18" i="4"/>
  <c r="E17" i="4"/>
  <c r="C20" i="4"/>
  <c r="C19" i="4"/>
  <c r="C18" i="4"/>
  <c r="C17" i="4"/>
  <c r="G91" i="4"/>
  <c r="G90" i="4"/>
  <c r="G89" i="4"/>
  <c r="G88" i="4"/>
  <c r="G87" i="4"/>
  <c r="G86" i="4"/>
  <c r="G85" i="4"/>
  <c r="G84" i="4"/>
  <c r="G83" i="4"/>
  <c r="G82" i="4"/>
  <c r="G81" i="4"/>
  <c r="G80" i="4"/>
  <c r="G79" i="4"/>
  <c r="F91" i="4"/>
  <c r="F90" i="4"/>
  <c r="F89" i="4"/>
  <c r="F88" i="4"/>
  <c r="F87" i="4"/>
  <c r="F86" i="4"/>
  <c r="F85" i="4"/>
  <c r="F84" i="4"/>
  <c r="F83" i="4"/>
  <c r="F82" i="4"/>
  <c r="F81" i="4"/>
  <c r="F80" i="4"/>
  <c r="F79" i="4"/>
  <c r="E91" i="4"/>
  <c r="E90" i="4"/>
  <c r="E89" i="4"/>
  <c r="E88" i="4"/>
  <c r="E87" i="4"/>
  <c r="E86" i="4"/>
  <c r="E85" i="4"/>
  <c r="E84" i="4"/>
  <c r="E83" i="4"/>
  <c r="E82" i="4"/>
  <c r="E81" i="4"/>
  <c r="E80" i="4"/>
  <c r="E79" i="4"/>
  <c r="D91" i="4"/>
  <c r="D90" i="4"/>
  <c r="D89" i="4"/>
  <c r="D88" i="4"/>
  <c r="D87" i="4"/>
  <c r="D86" i="4"/>
  <c r="D85" i="4"/>
  <c r="D84" i="4"/>
  <c r="D83" i="4"/>
  <c r="D82" i="4"/>
  <c r="D81" i="4"/>
  <c r="D80" i="4"/>
  <c r="D79" i="4"/>
  <c r="C91" i="4"/>
  <c r="C90" i="4"/>
  <c r="C89" i="4"/>
  <c r="C88" i="4"/>
  <c r="C87" i="4"/>
  <c r="C86" i="4"/>
  <c r="C85" i="4"/>
  <c r="C84" i="4"/>
  <c r="C83" i="4"/>
  <c r="C82" i="4"/>
  <c r="C81" i="4"/>
  <c r="C80" i="4"/>
  <c r="C79" i="4"/>
  <c r="G77" i="4"/>
  <c r="F77" i="4"/>
  <c r="E77" i="4"/>
  <c r="D77" i="4"/>
  <c r="C77" i="4"/>
  <c r="G76" i="4"/>
  <c r="F76" i="4"/>
  <c r="E76" i="4"/>
  <c r="D76" i="4"/>
  <c r="C76" i="4"/>
  <c r="G75" i="4"/>
  <c r="F75" i="4"/>
  <c r="E75" i="4"/>
  <c r="D75" i="4"/>
  <c r="C75" i="4"/>
  <c r="G74" i="4"/>
  <c r="F74" i="4"/>
  <c r="E74" i="4"/>
  <c r="D74" i="4"/>
  <c r="C74" i="4"/>
  <c r="G73" i="4"/>
  <c r="F73" i="4"/>
  <c r="E73" i="4"/>
  <c r="D73" i="4"/>
  <c r="C73" i="4"/>
  <c r="G72" i="4"/>
  <c r="F72" i="4"/>
  <c r="E72" i="4"/>
  <c r="D72" i="4"/>
  <c r="C72" i="4"/>
  <c r="G69" i="4"/>
  <c r="G68" i="4"/>
  <c r="G67" i="4"/>
  <c r="G66" i="4"/>
  <c r="G65" i="4"/>
  <c r="G64" i="4"/>
  <c r="G63" i="4"/>
  <c r="G62" i="4"/>
  <c r="G61" i="4"/>
  <c r="G60" i="4"/>
  <c r="G59" i="4"/>
  <c r="G58" i="4"/>
  <c r="G57" i="4"/>
  <c r="F69" i="4"/>
  <c r="F68" i="4"/>
  <c r="F67" i="4"/>
  <c r="F66" i="4"/>
  <c r="F65" i="4"/>
  <c r="F64" i="4"/>
  <c r="F63" i="4"/>
  <c r="F62" i="4"/>
  <c r="F61" i="4"/>
  <c r="F60" i="4"/>
  <c r="F59" i="4"/>
  <c r="F58" i="4"/>
  <c r="F57" i="4"/>
  <c r="E69" i="4"/>
  <c r="E68" i="4"/>
  <c r="E67" i="4"/>
  <c r="E66" i="4"/>
  <c r="E65" i="4"/>
  <c r="E64" i="4"/>
  <c r="E63" i="4"/>
  <c r="E62" i="4"/>
  <c r="E61" i="4"/>
  <c r="E60" i="4"/>
  <c r="E59" i="4"/>
  <c r="E58" i="4"/>
  <c r="E57" i="4"/>
  <c r="D69" i="4"/>
  <c r="D68" i="4"/>
  <c r="D67" i="4"/>
  <c r="D66" i="4"/>
  <c r="D65" i="4"/>
  <c r="D64" i="4"/>
  <c r="D63" i="4"/>
  <c r="D62" i="4"/>
  <c r="D61" i="4"/>
  <c r="D60" i="4"/>
  <c r="D59" i="4"/>
  <c r="D58" i="4"/>
  <c r="D57" i="4"/>
  <c r="C69" i="4"/>
  <c r="C68" i="4"/>
  <c r="C67" i="4"/>
  <c r="C66" i="4"/>
  <c r="C65" i="4"/>
  <c r="C64" i="4"/>
  <c r="C63" i="4"/>
  <c r="C62" i="4"/>
  <c r="C61" i="4"/>
  <c r="C60" i="4"/>
  <c r="C59" i="4"/>
  <c r="C58" i="4"/>
  <c r="C57" i="4"/>
  <c r="G55" i="4"/>
  <c r="F55" i="4"/>
  <c r="E55" i="4"/>
  <c r="D55" i="4"/>
  <c r="C55" i="4"/>
  <c r="G54" i="4"/>
  <c r="F54" i="4"/>
  <c r="E54" i="4"/>
  <c r="D54" i="4"/>
  <c r="C54" i="4"/>
  <c r="G53" i="4"/>
  <c r="F53" i="4"/>
  <c r="E53" i="4"/>
  <c r="D53" i="4"/>
  <c r="C53" i="4"/>
  <c r="G52" i="4"/>
  <c r="F52" i="4"/>
  <c r="E52" i="4"/>
  <c r="D52" i="4"/>
  <c r="C52" i="4"/>
  <c r="G51" i="4"/>
  <c r="F51" i="4"/>
  <c r="E51" i="4"/>
  <c r="D51" i="4"/>
  <c r="C51" i="4"/>
  <c r="G50" i="4"/>
  <c r="F50" i="4"/>
  <c r="E50" i="4"/>
  <c r="D50" i="4"/>
  <c r="C50" i="4"/>
  <c r="G47" i="4"/>
  <c r="G46" i="4"/>
  <c r="G45" i="4"/>
  <c r="G44" i="4"/>
  <c r="G43" i="4"/>
  <c r="G42" i="4"/>
  <c r="G41" i="4"/>
  <c r="G40" i="4"/>
  <c r="G39" i="4"/>
  <c r="G38" i="4"/>
  <c r="G37" i="4"/>
  <c r="G36" i="4"/>
  <c r="G35" i="4"/>
  <c r="F47" i="4"/>
  <c r="F46" i="4"/>
  <c r="F45" i="4"/>
  <c r="F44" i="4"/>
  <c r="F43" i="4"/>
  <c r="F42" i="4"/>
  <c r="F41" i="4"/>
  <c r="F40" i="4"/>
  <c r="F39" i="4"/>
  <c r="F38" i="4"/>
  <c r="F37" i="4"/>
  <c r="F36" i="4"/>
  <c r="F35" i="4"/>
  <c r="E47" i="4"/>
  <c r="E46" i="4"/>
  <c r="E45" i="4"/>
  <c r="E44" i="4"/>
  <c r="E43" i="4"/>
  <c r="E42" i="4"/>
  <c r="E41" i="4"/>
  <c r="E40" i="4"/>
  <c r="E39" i="4"/>
  <c r="E38" i="4"/>
  <c r="E37" i="4"/>
  <c r="E36" i="4"/>
  <c r="E35" i="4"/>
  <c r="D47" i="4"/>
  <c r="D46" i="4"/>
  <c r="D45" i="4"/>
  <c r="D44" i="4"/>
  <c r="D43" i="4"/>
  <c r="D42" i="4"/>
  <c r="D41" i="4"/>
  <c r="D40" i="4"/>
  <c r="D39" i="4"/>
  <c r="D38" i="4"/>
  <c r="D37" i="4"/>
  <c r="D36" i="4"/>
  <c r="D35" i="4"/>
  <c r="C47" i="4"/>
  <c r="C46" i="4"/>
  <c r="C45" i="4"/>
  <c r="C44" i="4"/>
  <c r="C43" i="4"/>
  <c r="C42" i="4"/>
  <c r="C41" i="4"/>
  <c r="C40" i="4"/>
  <c r="C39" i="4"/>
  <c r="C38" i="4"/>
  <c r="C37" i="4"/>
  <c r="C36" i="4"/>
  <c r="C35" i="4"/>
  <c r="G33" i="4"/>
  <c r="F33" i="4"/>
  <c r="E33" i="4"/>
  <c r="D33" i="4"/>
  <c r="C33" i="4"/>
  <c r="G32" i="4"/>
  <c r="F32" i="4"/>
  <c r="E32" i="4"/>
  <c r="D32" i="4"/>
  <c r="C32" i="4"/>
  <c r="G31" i="4"/>
  <c r="F31" i="4"/>
  <c r="E31" i="4"/>
  <c r="D31" i="4"/>
  <c r="C31" i="4"/>
  <c r="G30" i="4"/>
  <c r="F30" i="4"/>
  <c r="E30" i="4"/>
  <c r="D30" i="4"/>
  <c r="C30" i="4"/>
  <c r="G29" i="4"/>
  <c r="F29" i="4"/>
  <c r="E29" i="4"/>
  <c r="D29" i="4"/>
  <c r="C29" i="4"/>
  <c r="G28" i="4"/>
  <c r="F28" i="4"/>
  <c r="E28" i="4"/>
  <c r="D28" i="4"/>
  <c r="C28" i="4"/>
  <c r="H49" i="2"/>
  <c r="H48" i="2"/>
  <c r="H47" i="2"/>
  <c r="H46" i="2"/>
  <c r="H45" i="2"/>
  <c r="H44" i="2"/>
  <c r="H43" i="2"/>
  <c r="G49" i="2"/>
  <c r="G48" i="2"/>
  <c r="G47" i="2"/>
  <c r="G46" i="2"/>
  <c r="G45" i="2"/>
  <c r="G44" i="2"/>
  <c r="G43" i="2"/>
  <c r="F49" i="2"/>
  <c r="F48" i="2"/>
  <c r="F47" i="2"/>
  <c r="F46" i="2"/>
  <c r="F45" i="2"/>
  <c r="F44" i="2"/>
  <c r="F43" i="2"/>
  <c r="E49" i="2"/>
  <c r="E48" i="2"/>
  <c r="E47" i="2"/>
  <c r="E46" i="2"/>
  <c r="E45" i="2"/>
  <c r="E44" i="2"/>
  <c r="E43" i="2"/>
  <c r="D49" i="2"/>
  <c r="D48" i="2"/>
  <c r="D47" i="2"/>
  <c r="D46" i="2"/>
  <c r="D45" i="2"/>
  <c r="D44" i="2"/>
  <c r="D43" i="2"/>
  <c r="H40" i="2"/>
  <c r="H39" i="2"/>
  <c r="H38" i="2"/>
  <c r="H37" i="2"/>
  <c r="H36" i="2"/>
  <c r="H35" i="2"/>
  <c r="H34" i="2"/>
  <c r="H33" i="2"/>
  <c r="H32" i="2"/>
  <c r="G40" i="2"/>
  <c r="G39" i="2"/>
  <c r="G38" i="2"/>
  <c r="G37" i="2"/>
  <c r="G36" i="2"/>
  <c r="G35" i="2"/>
  <c r="G34" i="2"/>
  <c r="G33" i="2"/>
  <c r="G32" i="2"/>
  <c r="F40" i="2"/>
  <c r="F39" i="2"/>
  <c r="F38" i="2"/>
  <c r="F37" i="2"/>
  <c r="F36" i="2"/>
  <c r="F35" i="2"/>
  <c r="F34" i="2"/>
  <c r="F33" i="2"/>
  <c r="F32" i="2"/>
  <c r="E40" i="2"/>
  <c r="E39" i="2"/>
  <c r="E38" i="2"/>
  <c r="E37" i="2"/>
  <c r="E36" i="2"/>
  <c r="E35" i="2"/>
  <c r="E34" i="2"/>
  <c r="E33" i="2"/>
  <c r="E32" i="2"/>
  <c r="D40" i="2"/>
  <c r="D39" i="2"/>
  <c r="D38" i="2"/>
  <c r="D37" i="2"/>
  <c r="D36" i="2"/>
  <c r="D35" i="2"/>
  <c r="D34" i="2"/>
  <c r="D33" i="2"/>
  <c r="D32" i="2"/>
  <c r="H29" i="2"/>
  <c r="H28" i="2"/>
  <c r="H27" i="2"/>
  <c r="H26" i="2"/>
  <c r="H25" i="2"/>
  <c r="G29" i="2"/>
  <c r="G28" i="2"/>
  <c r="G27" i="2"/>
  <c r="G26" i="2"/>
  <c r="G25" i="2"/>
  <c r="F29" i="2"/>
  <c r="F28" i="2"/>
  <c r="F27" i="2"/>
  <c r="F26" i="2"/>
  <c r="F25" i="2"/>
  <c r="E29" i="2"/>
  <c r="E28" i="2"/>
  <c r="E27" i="2"/>
  <c r="E26" i="2"/>
  <c r="E25" i="2"/>
  <c r="D29" i="2"/>
  <c r="D28" i="2"/>
  <c r="D27" i="2"/>
  <c r="D26" i="2"/>
  <c r="D25" i="2"/>
  <c r="H22" i="2"/>
  <c r="H21" i="2"/>
  <c r="H20" i="2"/>
  <c r="G22" i="2"/>
  <c r="G21" i="2"/>
  <c r="G20" i="2"/>
  <c r="F22" i="2"/>
  <c r="F21" i="2"/>
  <c r="F20" i="2"/>
  <c r="E22" i="2"/>
  <c r="E21" i="2"/>
  <c r="E20" i="2"/>
  <c r="D22" i="2"/>
  <c r="D21" i="2"/>
  <c r="D20" i="2"/>
  <c r="H17" i="2"/>
  <c r="H16" i="2"/>
  <c r="H15" i="2"/>
  <c r="H14" i="2"/>
  <c r="H11" i="2"/>
  <c r="H10" i="2"/>
  <c r="H9" i="2"/>
  <c r="H8" i="2"/>
  <c r="H7" i="2"/>
  <c r="H6" i="2"/>
  <c r="G17" i="2"/>
  <c r="G16" i="2"/>
  <c r="G15" i="2"/>
  <c r="G14" i="2"/>
  <c r="G11" i="2"/>
  <c r="G10" i="2"/>
  <c r="G9" i="2"/>
  <c r="G8" i="2"/>
  <c r="G7" i="2"/>
  <c r="G6" i="2"/>
  <c r="F17" i="2"/>
  <c r="F16" i="2"/>
  <c r="F15" i="2"/>
  <c r="F14" i="2"/>
  <c r="F11" i="2"/>
  <c r="F10" i="2"/>
  <c r="F9" i="2"/>
  <c r="F8" i="2"/>
  <c r="F7" i="2"/>
  <c r="F6" i="2"/>
  <c r="E17" i="2"/>
  <c r="E16" i="2"/>
  <c r="E15" i="2"/>
  <c r="E14" i="2"/>
  <c r="E11" i="2"/>
  <c r="E10" i="2"/>
  <c r="E9" i="2"/>
  <c r="E8" i="2"/>
  <c r="E7" i="2"/>
  <c r="E6" i="2"/>
  <c r="D17" i="2"/>
  <c r="D16" i="2"/>
  <c r="D15" i="2"/>
  <c r="D14" i="2"/>
  <c r="D11" i="2"/>
  <c r="D10" i="2"/>
  <c r="D9" i="2"/>
  <c r="D8" i="2"/>
  <c r="D7" i="2"/>
  <c r="D6" i="2"/>
</calcChain>
</file>

<file path=xl/sharedStrings.xml><?xml version="1.0" encoding="utf-8"?>
<sst xmlns="http://schemas.openxmlformats.org/spreadsheetml/2006/main" count="210" uniqueCount="127">
  <si>
    <t>SaaS Revenue Forecast Model</t>
  </si>
  <si>
    <t>Prepared: February 2026</t>
  </si>
  <si>
    <t>Historical Performance</t>
  </si>
  <si>
    <t>Financing Assumptions</t>
  </si>
  <si>
    <t>FY 2024 Annual Recurring Revenue (ARR)</t>
  </si>
  <si>
    <t>Tax Rate</t>
  </si>
  <si>
    <t>FY 2024 Total Customers</t>
  </si>
  <si>
    <t>Discount Rate (WACC)</t>
  </si>
  <si>
    <t>FY 2024 Average Revenue Per Account (ARPA)</t>
  </si>
  <si>
    <t>Terminal Growth Rate</t>
  </si>
  <si>
    <t>FY 2024 Monthly Churn Rate</t>
  </si>
  <si>
    <t>Debt to Equity Ratio</t>
  </si>
  <si>
    <t>FY 2024 Gross Margin</t>
  </si>
  <si>
    <t>Interest Rate on Debt</t>
  </si>
  <si>
    <t>FY 2024 Customer Acquisition Cost (CAC)</t>
  </si>
  <si>
    <t>FY 2024 Operating Expenses</t>
  </si>
  <si>
    <t>Growth Assumptions</t>
  </si>
  <si>
    <t>FY 2025</t>
  </si>
  <si>
    <t>FY 2026</t>
  </si>
  <si>
    <t>FY 2027</t>
  </si>
  <si>
    <t>FY 2028</t>
  </si>
  <si>
    <t>FY 2029</t>
  </si>
  <si>
    <t>New Customer Growth Rate</t>
  </si>
  <si>
    <t>ARPA Growth Rate</t>
  </si>
  <si>
    <t>Monthly Churn Rate</t>
  </si>
  <si>
    <t>Gross Margin Target</t>
  </si>
  <si>
    <t>Operating Expense Assumptions</t>
  </si>
  <si>
    <t>Sales &amp; Marketing (% of Revenue)</t>
  </si>
  <si>
    <t>Research &amp; Development (% of Revenue)</t>
  </si>
  <si>
    <t>General &amp; Administrative (% of Revenue)</t>
  </si>
  <si>
    <t>Customer Acquisition Cost (CAC)</t>
  </si>
  <si>
    <t>Financial Model</t>
  </si>
  <si>
    <t>FY 2024A</t>
  </si>
  <si>
    <t>Customer Metrics</t>
  </si>
  <si>
    <t>Beginning Customers</t>
  </si>
  <si>
    <t>New Customers</t>
  </si>
  <si>
    <t>Churned Customers</t>
  </si>
  <si>
    <t>Ending Customers</t>
  </si>
  <si>
    <t>Net Customer Adds</t>
  </si>
  <si>
    <t>Average Revenue Per Account</t>
  </si>
  <si>
    <t>Revenue Build</t>
  </si>
  <si>
    <t>Annual Recurring Revenue (ARR)</t>
  </si>
  <si>
    <t>Professional Services Revenue</t>
  </si>
  <si>
    <t>Total Revenue</t>
  </si>
  <si>
    <t>YoY Revenue Growth</t>
  </si>
  <si>
    <t>Cost Structure</t>
  </si>
  <si>
    <t>Cost of Goods Sold</t>
  </si>
  <si>
    <t>Gross Profit</t>
  </si>
  <si>
    <t>Gross Margin %</t>
  </si>
  <si>
    <t>Operating Expenses</t>
  </si>
  <si>
    <t>Sales &amp; Marketing</t>
  </si>
  <si>
    <t>Research &amp; Development</t>
  </si>
  <si>
    <t>General &amp; Administrative</t>
  </si>
  <si>
    <t>Total Operating Expenses</t>
  </si>
  <si>
    <t>Operating Expenses % of Revenue</t>
  </si>
  <si>
    <t>Profitability</t>
  </si>
  <si>
    <t>EBITDA</t>
  </si>
  <si>
    <t>EBITDA Margin %</t>
  </si>
  <si>
    <t>Depreciation &amp; Amortization</t>
  </si>
  <si>
    <t>EBIT</t>
  </si>
  <si>
    <t>Interest Expense</t>
  </si>
  <si>
    <t>Pre-Tax Income</t>
  </si>
  <si>
    <t>Income Tax</t>
  </si>
  <si>
    <t>Net Income</t>
  </si>
  <si>
    <t>Net Margin %</t>
  </si>
  <si>
    <t>Key SaaS Metrics</t>
  </si>
  <si>
    <t>Monthly Recurring Revenue (MRR)</t>
  </si>
  <si>
    <t>LTV per Customer</t>
  </si>
  <si>
    <t>CAC</t>
  </si>
  <si>
    <t>LTV/CAC Ratio</t>
  </si>
  <si>
    <t>CAC Payback (months)</t>
  </si>
  <si>
    <t>Net Revenue Retention</t>
  </si>
  <si>
    <t>Rule of 40 Score</t>
  </si>
  <si>
    <t>Exercise 1</t>
  </si>
  <si>
    <t>Excel University</t>
  </si>
  <si>
    <t>Exercise</t>
  </si>
  <si>
    <t>Scenario Analysis</t>
  </si>
  <si>
    <t>Base Case</t>
  </si>
  <si>
    <t>Bull Case</t>
  </si>
  <si>
    <t>Bear Case</t>
  </si>
  <si>
    <t>Customer Growth Rate (Yr1)</t>
  </si>
  <si>
    <t>Customer Growth Rate (Yr5)</t>
  </si>
  <si>
    <t>Monthly Churn Rate (Yr1)</t>
  </si>
  <si>
    <t>Monthly Churn Rate (Yr5)</t>
  </si>
  <si>
    <t>Gross Margin (Yr5)</t>
  </si>
  <si>
    <t>S&amp;M % of Revenue (Yr5)</t>
  </si>
  <si>
    <t>R&amp;D % of Revenue (Yr5)</t>
  </si>
  <si>
    <t>Scenario Results Summary</t>
  </si>
  <si>
    <t>FY 2029 ARR</t>
  </si>
  <si>
    <t>FY 2029 Net Income</t>
  </si>
  <si>
    <t>FY 2029 EBITDA Margin</t>
  </si>
  <si>
    <t>FY 2029 Ending Customers</t>
  </si>
  <si>
    <t>Cumulative Free Cash Flow</t>
  </si>
  <si>
    <t>Terminal Value</t>
  </si>
  <si>
    <t>Exercise 2</t>
  </si>
  <si>
    <t>Exercise 3</t>
  </si>
  <si>
    <t xml:space="preserve">Review the Inputs sheet and Model sheet. </t>
  </si>
  <si>
    <t xml:space="preserve">Build the formulas for the Customer Metrics and Revenue Build sections of the Model, pulling assumptions from the Inputs sheet. </t>
  </si>
  <si>
    <t>Project FY 2025 through FY 2029.</t>
  </si>
  <si>
    <t xml:space="preserve">Build the Cost Structure, Operating Expenses, and Profitability sections of the Model. </t>
  </si>
  <si>
    <t xml:space="preserve">Calculate EBITDA, EBIT, and Net Income for each forecast year. </t>
  </si>
  <si>
    <t>Also compute the Key SaaS Metrics section including MRR, LTV, CAC ratio, and Rule of 40.</t>
  </si>
  <si>
    <t xml:space="preserve">Build a scenario analysis on the Scenarios sheet. </t>
  </si>
  <si>
    <t xml:space="preserve">Create formulas that show how FY 2029 ARR, Net Income, EBITDA Margin, and Ending Customers change under Base, Bull, and Bear assumptions. </t>
  </si>
  <si>
    <t>Scenario Calculation Engine</t>
  </si>
  <si>
    <t>BASE CASE</t>
  </si>
  <si>
    <t>Customer Growth Rate</t>
  </si>
  <si>
    <t>Gross Margin</t>
  </si>
  <si>
    <t>S&amp;M % of Revenue</t>
  </si>
  <si>
    <t>R&amp;D % of Revenue</t>
  </si>
  <si>
    <t>ARPA</t>
  </si>
  <si>
    <t>ARR</t>
  </si>
  <si>
    <t>Prof. Services (5%)</t>
  </si>
  <si>
    <t>Total OpEx</t>
  </si>
  <si>
    <t>EBITDA Margin</t>
  </si>
  <si>
    <t>BULL CASE</t>
  </si>
  <si>
    <t>BEAR CASE</t>
  </si>
  <si>
    <t>Δ vs Base</t>
  </si>
  <si>
    <t>—</t>
  </si>
  <si>
    <t>Additional Resources</t>
  </si>
  <si>
    <t>Learn Excel. Work Faster.</t>
  </si>
  <si>
    <t>Free Resources</t>
  </si>
  <si>
    <t>We have tons of free resources for helping you learn Excel:</t>
  </si>
  <si>
    <t>https://www.excel-university.com/learn-excel-free</t>
  </si>
  <si>
    <t>Paid</t>
  </si>
  <si>
    <t>We also offer formal training programs:</t>
  </si>
  <si>
    <t>https://store.excel-university.com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</si>
</sst>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\$#,##0"/>
    <numFmt numFmtId="165" formatCode="0.0%"/>
    <numFmt numFmtId="166" formatCode="0.0\x"/>
    <numFmt numFmtId="167" formatCode="0.0"/>
    <numFmt numFmtId="168" formatCode="\+0.0%;\-0.0%"/>
    <numFmt numFmtId="169" formatCode="\+0.0\p\p;\-0.0\p\p"/>
  </numFmts>
  <fonts count="25" x14ac:knownFonts="1">
    <font>
      <sz val="11"/>
      <color theme="1"/>
      <name val="Calibri"/>
      <family val="2"/>
      <charset val="1"/>
    </font>
    <font>
      <b/>
      <sz val="14"/>
      <color rgb="FF1F4E79"/>
      <name val="Arial"/>
      <family val="2"/>
    </font>
    <font>
      <sz val="10"/>
      <color rgb="FF808080"/>
      <name val="Arial"/>
      <family val="2"/>
    </font>
    <font>
      <b/>
      <sz val="10"/>
      <color rgb="FF1F4E79"/>
      <name val="Arial"/>
      <family val="2"/>
    </font>
    <font>
      <sz val="10"/>
      <name val="Arial"/>
      <family val="2"/>
    </font>
    <font>
      <sz val="10"/>
      <color rgb="FF0000FF"/>
      <name val="Arial"/>
      <family val="2"/>
    </font>
    <font>
      <b/>
      <sz val="10"/>
      <name val="Arial"/>
      <family val="2"/>
    </font>
    <font>
      <b/>
      <sz val="18"/>
      <name val="Aptos Narrow"/>
      <family val="2"/>
    </font>
    <font>
      <sz val="14"/>
      <name val="Aptos Narrow"/>
      <family val="2"/>
    </font>
    <font>
      <b/>
      <sz val="11"/>
      <name val="Aptos Narrow"/>
      <family val="2"/>
    </font>
    <font>
      <sz val="11"/>
      <name val="Aptos Narrow"/>
      <family val="2"/>
    </font>
    <font>
      <b/>
      <sz val="10"/>
      <color rgb="FFFFFFFF"/>
      <name val="Arial"/>
      <family val="2"/>
    </font>
    <font>
      <b/>
      <sz val="10"/>
      <color rgb="FF1F4E79"/>
      <name val="Arial"/>
      <family val="2"/>
    </font>
    <font>
      <b/>
      <sz val="10"/>
      <color rgb="FFFFFFFF"/>
      <name val="Arial"/>
      <family val="2"/>
    </font>
    <font>
      <b/>
      <sz val="10"/>
      <color rgb="FF000000"/>
      <name val="Arial"/>
      <family val="2"/>
    </font>
    <font>
      <sz val="10"/>
      <color theme="1"/>
      <name val="Arial"/>
      <family val="2"/>
    </font>
    <font>
      <b/>
      <sz val="9"/>
      <color rgb="FF808080"/>
      <name val="Arial"/>
      <family val="2"/>
    </font>
    <font>
      <sz val="10"/>
      <color rgb="FF808080"/>
      <name val="Arial"/>
      <family val="2"/>
    </font>
    <font>
      <sz val="10"/>
      <color rgb="FF2D6A4F"/>
      <name val="Arial"/>
      <family val="2"/>
    </font>
    <font>
      <sz val="10"/>
      <color rgb="FFC0392B"/>
      <name val="Arial"/>
      <family val="2"/>
    </font>
    <font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D6E4F0"/>
        <bgColor rgb="FFCCFFFF"/>
      </patternFill>
    </fill>
    <fill>
      <patternFill patternType="solid">
        <fgColor rgb="FFFFFFCC"/>
        <bgColor rgb="FFFFFFFF"/>
      </patternFill>
    </fill>
    <fill>
      <patternFill patternType="solid">
        <fgColor rgb="FF4472C4"/>
        <bgColor rgb="FF666699"/>
      </patternFill>
    </fill>
    <fill>
      <patternFill patternType="solid">
        <fgColor rgb="FF2D6A4F"/>
        <bgColor rgb="FF1F4E79"/>
      </patternFill>
    </fill>
    <fill>
      <patternFill patternType="solid">
        <fgColor rgb="FFC0392B"/>
        <bgColor rgb="FF993366"/>
      </patternFill>
    </fill>
    <fill>
      <patternFill patternType="solid">
        <fgColor rgb="FFD6E4F0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2D6A4F"/>
        <bgColor indexed="64"/>
      </patternFill>
    </fill>
    <fill>
      <patternFill patternType="solid">
        <fgColor rgb="FFC0392B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/>
    <xf numFmtId="0" fontId="20" fillId="0" borderId="0"/>
    <xf numFmtId="0" fontId="24" fillId="0" borderId="0" applyNumberFormat="0" applyFill="0" applyBorder="0" applyAlignment="0" applyProtection="0"/>
  </cellStyleXfs>
  <cellXfs count="49">
    <xf numFmtId="0" fontId="0" fillId="0" borderId="0" xfId="0"/>
    <xf numFmtId="0" fontId="2" fillId="0" borderId="0" xfId="0" applyFont="1"/>
    <xf numFmtId="0" fontId="3" fillId="2" borderId="0" xfId="0" applyFont="1" applyFill="1"/>
    <xf numFmtId="0" fontId="0" fillId="2" borderId="0" xfId="0" applyFill="1"/>
    <xf numFmtId="0" fontId="4" fillId="0" borderId="0" xfId="0" applyFont="1"/>
    <xf numFmtId="164" fontId="5" fillId="3" borderId="0" xfId="0" applyNumberFormat="1" applyFont="1" applyFill="1"/>
    <xf numFmtId="165" fontId="5" fillId="3" borderId="0" xfId="0" applyNumberFormat="1" applyFont="1" applyFill="1"/>
    <xf numFmtId="3" fontId="5" fillId="3" borderId="0" xfId="0" applyNumberFormat="1" applyFont="1" applyFill="1"/>
    <xf numFmtId="0" fontId="6" fillId="0" borderId="0" xfId="0" applyFont="1"/>
    <xf numFmtId="3" fontId="4" fillId="0" borderId="0" xfId="0" applyNumberFormat="1" applyFont="1"/>
    <xf numFmtId="3" fontId="0" fillId="0" borderId="0" xfId="0" applyNumberFormat="1"/>
    <xf numFmtId="164" fontId="4" fillId="0" borderId="0" xfId="0" applyNumberFormat="1" applyFont="1"/>
    <xf numFmtId="164" fontId="0" fillId="0" borderId="0" xfId="0" applyNumberFormat="1"/>
    <xf numFmtId="165" fontId="0" fillId="0" borderId="0" xfId="0" applyNumberFormat="1"/>
    <xf numFmtId="165" fontId="4" fillId="0" borderId="0" xfId="0" applyNumberFormat="1" applyFont="1"/>
    <xf numFmtId="166" fontId="4" fillId="0" borderId="0" xfId="0" applyNumberFormat="1" applyFont="1"/>
    <xf numFmtId="166" fontId="0" fillId="0" borderId="0" xfId="0" applyNumberFormat="1"/>
    <xf numFmtId="167" fontId="4" fillId="0" borderId="0" xfId="0" applyNumberFormat="1" applyFont="1"/>
    <xf numFmtId="167" fontId="0" fillId="0" borderId="0" xfId="0" applyNumberFormat="1"/>
    <xf numFmtId="0" fontId="7" fillId="0" borderId="0" xfId="0" applyFont="1"/>
    <xf numFmtId="0" fontId="8" fillId="0" borderId="0" xfId="0" applyFont="1"/>
    <xf numFmtId="0" fontId="9" fillId="0" borderId="0" xfId="0" applyFont="1"/>
    <xf numFmtId="0" fontId="10" fillId="0" borderId="0" xfId="0" applyFont="1"/>
    <xf numFmtId="0" fontId="11" fillId="4" borderId="0" xfId="0" applyFont="1" applyFill="1" applyAlignment="1">
      <alignment horizontal="center"/>
    </xf>
    <xf numFmtId="0" fontId="11" fillId="5" borderId="0" xfId="0" applyFont="1" applyFill="1" applyAlignment="1">
      <alignment horizontal="center"/>
    </xf>
    <xf numFmtId="0" fontId="11" fillId="6" borderId="0" xfId="0" applyFont="1" applyFill="1" applyAlignment="1">
      <alignment horizontal="center"/>
    </xf>
    <xf numFmtId="0" fontId="12" fillId="7" borderId="0" xfId="0" applyFont="1" applyFill="1"/>
    <xf numFmtId="0" fontId="0" fillId="7" borderId="0" xfId="0" applyFill="1"/>
    <xf numFmtId="0" fontId="13" fillId="8" borderId="0" xfId="0" applyFont="1" applyFill="1" applyAlignment="1">
      <alignment horizontal="center"/>
    </xf>
    <xf numFmtId="0" fontId="14" fillId="0" borderId="0" xfId="0" applyFont="1"/>
    <xf numFmtId="0" fontId="15" fillId="0" borderId="0" xfId="0" applyFont="1"/>
    <xf numFmtId="0" fontId="14" fillId="8" borderId="0" xfId="0" applyFont="1" applyFill="1"/>
    <xf numFmtId="0" fontId="13" fillId="9" borderId="0" xfId="0" applyFont="1" applyFill="1" applyAlignment="1">
      <alignment horizontal="center"/>
    </xf>
    <xf numFmtId="0" fontId="0" fillId="9" borderId="0" xfId="0" applyFill="1"/>
    <xf numFmtId="0" fontId="13" fillId="10" borderId="0" xfId="0" applyFont="1" applyFill="1" applyAlignment="1">
      <alignment horizontal="center"/>
    </xf>
    <xf numFmtId="0" fontId="0" fillId="10" borderId="0" xfId="0" applyFill="1"/>
    <xf numFmtId="0" fontId="16" fillId="0" borderId="0" xfId="0" applyFont="1" applyAlignment="1">
      <alignment horizontal="center"/>
    </xf>
    <xf numFmtId="0" fontId="17" fillId="0" borderId="0" xfId="0" applyFont="1" applyAlignment="1">
      <alignment horizontal="center"/>
    </xf>
    <xf numFmtId="168" fontId="18" fillId="0" borderId="0" xfId="0" applyNumberFormat="1" applyFont="1"/>
    <xf numFmtId="169" fontId="18" fillId="0" borderId="0" xfId="0" applyNumberFormat="1" applyFont="1"/>
    <xf numFmtId="168" fontId="19" fillId="0" borderId="0" xfId="0" applyNumberFormat="1" applyFont="1"/>
    <xf numFmtId="169" fontId="19" fillId="0" borderId="0" xfId="0" applyNumberFormat="1" applyFont="1"/>
    <xf numFmtId="0" fontId="1" fillId="0" borderId="0" xfId="0" applyFont="1"/>
    <xf numFmtId="0" fontId="21" fillId="0" borderId="1" xfId="1" applyFont="1" applyBorder="1"/>
    <xf numFmtId="0" fontId="20" fillId="0" borderId="1" xfId="1" applyBorder="1"/>
    <xf numFmtId="0" fontId="20" fillId="0" borderId="0" xfId="1"/>
    <xf numFmtId="0" fontId="22" fillId="0" borderId="0" xfId="1" applyFont="1"/>
    <xf numFmtId="0" fontId="23" fillId="0" borderId="0" xfId="1" applyFont="1"/>
    <xf numFmtId="0" fontId="24" fillId="0" borderId="0" xfId="2"/>
  </cellXfs>
  <cellStyles count="3">
    <cellStyle name="Hyperlink 2" xfId="2" xr:uid="{B6A5AA84-0285-405E-A620-BBE6023C1442}"/>
    <cellStyle name="Normal" xfId="0" builtinId="0"/>
    <cellStyle name="Normal 2" xfId="1" xr:uid="{97DA923F-C588-4614-B9DC-DA83FFC629A3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2D6A4F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6E4F0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4472C4"/>
      <rgbColor rgb="FF33CCCC"/>
      <rgbColor rgb="FF99CC00"/>
      <rgbColor rgb="FFFFCC00"/>
      <rgbColor rgb="FFFF9900"/>
      <rgbColor rgb="FFED7D31"/>
      <rgbColor rgb="FF666699"/>
      <rgbColor rgb="FF70AD47"/>
      <rgbColor rgb="FF003366"/>
      <rgbColor rgb="FF339966"/>
      <rgbColor rgb="FF003300"/>
      <rgbColor rgb="FF333300"/>
      <rgbColor rgb="FFC0392B"/>
      <rgbColor rgb="FF993366"/>
      <rgbColor rgb="FF1F4E7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ebextensions/_rels/taskpanes.xml.rels><?xml version="1.0" encoding="UTF-8" standalone="yes"?>
<Relationships xmlns="http://schemas.openxmlformats.org/package/2006/relationships"><Relationship Id="rId1" Type="http://schemas.microsoft.com/office/2011/relationships/webextension" Target="webextension1.xml"/></Relationships>
</file>

<file path=xl/webextensions/taskpanes.xml><?xml version="1.0" encoding="utf-8"?>
<wetp:taskpanes xmlns:wetp="http://schemas.microsoft.com/office/webextensions/taskpanes/2010/11">
  <wetp:taskpane dockstate="right" visibility="0" width="350" row="3">
    <wetp:webextensionref xmlns:r="http://schemas.openxmlformats.org/officeDocument/2006/relationships" r:id="rId1"/>
  </wetp:taskpane>
</wetp:taskpanes>
</file>

<file path=xl/webextensions/webextension1.xml><?xml version="1.0" encoding="utf-8"?>
<we:webextension xmlns:we="http://schemas.microsoft.com/office/webextensions/webextension/2010/11" id="{71AC2A03-6FB3-45B5-A256-717C605DC557}">
  <we:reference id="WA200009404" version="1.0.0.5" store="Omex" storeType="OMEX"/>
  <we:alternateReferences>
    <we:reference id="WA200009404" version="1.0.0.5" store="WA200009404" storeType="OMEX"/>
  </we:alternateReferences>
  <we:properties>
    <we:property name="Office.AutoShowTaskpaneWithDocument" value="true"/>
  </we:properties>
  <we:bindings/>
  <we:snapshot xmlns:r="http://schemas.openxmlformats.org/officeDocument/2006/relationships"/>
</we:webextension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store.excel-university.com/" TargetMode="External"/><Relationship Id="rId1" Type="http://schemas.openxmlformats.org/officeDocument/2006/relationships/hyperlink" Target="https://www.excel-university.com/learn-excel-fre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0DEAAD-C090-4D61-9054-6B50D084A8B0}">
  <sheetPr codeName="Sheet2"/>
  <dimension ref="A1:G13"/>
  <sheetViews>
    <sheetView tabSelected="1" workbookViewId="0">
      <selection activeCell="I18" sqref="I18"/>
    </sheetView>
  </sheetViews>
  <sheetFormatPr defaultRowHeight="15.75" x14ac:dyDescent="0.25"/>
  <cols>
    <col min="1" max="16384" width="9.140625" style="45"/>
  </cols>
  <sheetData>
    <row r="1" spans="1:7" ht="24" thickBot="1" x14ac:dyDescent="0.4">
      <c r="A1" s="43" t="s">
        <v>119</v>
      </c>
      <c r="B1" s="44"/>
      <c r="C1" s="44"/>
      <c r="D1" s="44"/>
      <c r="E1" s="44"/>
      <c r="F1" s="44"/>
      <c r="G1" s="44"/>
    </row>
    <row r="2" spans="1:7" ht="18.75" x14ac:dyDescent="0.3">
      <c r="A2" s="46" t="s">
        <v>74</v>
      </c>
    </row>
    <row r="4" spans="1:7" x14ac:dyDescent="0.25">
      <c r="A4" s="47" t="s">
        <v>74</v>
      </c>
    </row>
    <row r="5" spans="1:7" x14ac:dyDescent="0.25">
      <c r="A5" s="47"/>
      <c r="B5" s="45" t="s">
        <v>120</v>
      </c>
    </row>
    <row r="7" spans="1:7" x14ac:dyDescent="0.25">
      <c r="A7" s="47" t="s">
        <v>121</v>
      </c>
    </row>
    <row r="8" spans="1:7" x14ac:dyDescent="0.25">
      <c r="B8" s="45" t="s">
        <v>122</v>
      </c>
    </row>
    <row r="9" spans="1:7" x14ac:dyDescent="0.25">
      <c r="B9" s="48" t="s">
        <v>123</v>
      </c>
    </row>
    <row r="11" spans="1:7" x14ac:dyDescent="0.25">
      <c r="A11" s="47" t="s">
        <v>124</v>
      </c>
    </row>
    <row r="12" spans="1:7" x14ac:dyDescent="0.25">
      <c r="B12" s="45" t="s">
        <v>125</v>
      </c>
    </row>
    <row r="13" spans="1:7" x14ac:dyDescent="0.25">
      <c r="B13" s="48" t="s">
        <v>126</v>
      </c>
    </row>
  </sheetData>
  <hyperlinks>
    <hyperlink ref="B9" r:id="rId1" xr:uid="{72A33393-859A-4BD3-B8FA-9F5FC6108EF3}"/>
    <hyperlink ref="B13" r:id="rId2" xr:uid="{2A9CFF50-80CB-41F5-ABBF-68E6C142921F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1F4E79"/>
  </sheetPr>
  <dimension ref="B2:G29"/>
  <sheetViews>
    <sheetView zoomScaleNormal="100" workbookViewId="0"/>
  </sheetViews>
  <sheetFormatPr defaultColWidth="8.7109375" defaultRowHeight="15" customHeight="1" x14ac:dyDescent="0.25"/>
  <cols>
    <col min="1" max="1" width="4" customWidth="1"/>
    <col min="2" max="2" width="41.7109375" customWidth="1"/>
    <col min="3" max="7" width="14" customWidth="1"/>
  </cols>
  <sheetData>
    <row r="2" spans="2:7" ht="17.25" customHeight="1" x14ac:dyDescent="0.25">
      <c r="B2" s="42" t="s">
        <v>0</v>
      </c>
      <c r="C2" s="42"/>
    </row>
    <row r="3" spans="2:7" ht="15" customHeight="1" x14ac:dyDescent="0.25">
      <c r="B3" s="1" t="s">
        <v>1</v>
      </c>
    </row>
    <row r="5" spans="2:7" ht="15" customHeight="1" x14ac:dyDescent="0.25">
      <c r="B5" s="2" t="s">
        <v>2</v>
      </c>
      <c r="C5" s="3"/>
      <c r="D5" s="3"/>
      <c r="F5" s="2" t="s">
        <v>3</v>
      </c>
      <c r="G5" s="3"/>
    </row>
    <row r="7" spans="2:7" ht="15" customHeight="1" x14ac:dyDescent="0.25">
      <c r="B7" s="4" t="s">
        <v>4</v>
      </c>
      <c r="C7" s="5">
        <v>8400000</v>
      </c>
      <c r="F7" s="4" t="s">
        <v>5</v>
      </c>
      <c r="G7" s="6">
        <v>0.25</v>
      </c>
    </row>
    <row r="8" spans="2:7" ht="15" customHeight="1" x14ac:dyDescent="0.25">
      <c r="B8" s="4" t="s">
        <v>6</v>
      </c>
      <c r="C8" s="7">
        <v>1240</v>
      </c>
      <c r="F8" s="4" t="s">
        <v>7</v>
      </c>
      <c r="G8" s="6">
        <v>0.12</v>
      </c>
    </row>
    <row r="9" spans="2:7" ht="15" customHeight="1" x14ac:dyDescent="0.25">
      <c r="B9" s="4" t="s">
        <v>8</v>
      </c>
      <c r="F9" s="4" t="s">
        <v>9</v>
      </c>
      <c r="G9" s="6">
        <v>0.03</v>
      </c>
    </row>
    <row r="10" spans="2:7" ht="15" customHeight="1" x14ac:dyDescent="0.25">
      <c r="B10" s="4" t="s">
        <v>10</v>
      </c>
      <c r="C10" s="6">
        <v>2.1999999999999999E-2</v>
      </c>
      <c r="F10" s="4" t="s">
        <v>11</v>
      </c>
      <c r="G10" s="6">
        <v>0.15</v>
      </c>
    </row>
    <row r="11" spans="2:7" ht="15" customHeight="1" x14ac:dyDescent="0.25">
      <c r="B11" s="4" t="s">
        <v>12</v>
      </c>
      <c r="C11" s="6">
        <v>0.74</v>
      </c>
      <c r="F11" s="4" t="s">
        <v>13</v>
      </c>
      <c r="G11" s="6">
        <v>6.5000000000000002E-2</v>
      </c>
    </row>
    <row r="12" spans="2:7" ht="15" customHeight="1" x14ac:dyDescent="0.25">
      <c r="B12" s="4" t="s">
        <v>14</v>
      </c>
      <c r="C12" s="5">
        <v>1850</v>
      </c>
    </row>
    <row r="13" spans="2:7" ht="15" customHeight="1" x14ac:dyDescent="0.25">
      <c r="B13" s="4" t="s">
        <v>15</v>
      </c>
      <c r="C13" s="5">
        <v>5200000</v>
      </c>
    </row>
    <row r="16" spans="2:7" ht="15" customHeight="1" x14ac:dyDescent="0.25">
      <c r="B16" s="2" t="s">
        <v>16</v>
      </c>
      <c r="C16" s="3"/>
      <c r="D16" s="3"/>
    </row>
    <row r="17" spans="2:7" ht="15" customHeight="1" x14ac:dyDescent="0.25">
      <c r="B17" s="4"/>
      <c r="C17" s="8" t="s">
        <v>17</v>
      </c>
      <c r="D17" s="8" t="s">
        <v>18</v>
      </c>
      <c r="E17" s="8" t="s">
        <v>19</v>
      </c>
      <c r="F17" s="8" t="s">
        <v>20</v>
      </c>
      <c r="G17" s="8" t="s">
        <v>21</v>
      </c>
    </row>
    <row r="18" spans="2:7" ht="15" customHeight="1" x14ac:dyDescent="0.25">
      <c r="B18" s="4" t="s">
        <v>22</v>
      </c>
      <c r="C18" s="6">
        <v>0.28000000000000003</v>
      </c>
      <c r="D18" s="6">
        <v>0.24</v>
      </c>
      <c r="E18" s="6">
        <v>0.2</v>
      </c>
      <c r="F18" s="6">
        <v>0.18</v>
      </c>
      <c r="G18" s="6">
        <v>0.15</v>
      </c>
    </row>
    <row r="19" spans="2:7" ht="15" customHeight="1" x14ac:dyDescent="0.25">
      <c r="B19" s="4" t="s">
        <v>23</v>
      </c>
      <c r="C19" s="6">
        <v>0.05</v>
      </c>
      <c r="D19" s="6">
        <v>0.06</v>
      </c>
      <c r="E19" s="6">
        <v>0.05</v>
      </c>
      <c r="F19" s="6">
        <v>0.04</v>
      </c>
      <c r="G19" s="6">
        <v>0.04</v>
      </c>
    </row>
    <row r="20" spans="2:7" ht="15" customHeight="1" x14ac:dyDescent="0.25">
      <c r="B20" s="4" t="s">
        <v>24</v>
      </c>
      <c r="C20" s="6">
        <v>0.02</v>
      </c>
      <c r="D20" s="6">
        <v>1.7999999999999999E-2</v>
      </c>
      <c r="E20" s="6">
        <v>1.6E-2</v>
      </c>
      <c r="F20" s="6">
        <v>1.4999999999999999E-2</v>
      </c>
      <c r="G20" s="6">
        <v>1.4E-2</v>
      </c>
    </row>
    <row r="21" spans="2:7" ht="15" customHeight="1" x14ac:dyDescent="0.25">
      <c r="B21" s="4" t="s">
        <v>25</v>
      </c>
      <c r="C21" s="6">
        <v>0.75</v>
      </c>
      <c r="D21" s="6">
        <v>0.76</v>
      </c>
      <c r="E21" s="6">
        <v>0.78</v>
      </c>
      <c r="F21" s="6">
        <v>0.79</v>
      </c>
      <c r="G21" s="6">
        <v>0.8</v>
      </c>
    </row>
    <row r="24" spans="2:7" ht="15" customHeight="1" x14ac:dyDescent="0.25">
      <c r="B24" s="2" t="s">
        <v>26</v>
      </c>
      <c r="C24" s="3"/>
      <c r="D24" s="3"/>
    </row>
    <row r="25" spans="2:7" ht="15" customHeight="1" x14ac:dyDescent="0.25">
      <c r="B25" s="4"/>
      <c r="C25" s="8" t="s">
        <v>17</v>
      </c>
      <c r="D25" s="8" t="s">
        <v>18</v>
      </c>
      <c r="E25" s="8" t="s">
        <v>19</v>
      </c>
      <c r="F25" s="8" t="s">
        <v>20</v>
      </c>
      <c r="G25" s="8" t="s">
        <v>21</v>
      </c>
    </row>
    <row r="26" spans="2:7" ht="15" customHeight="1" x14ac:dyDescent="0.25">
      <c r="B26" s="4" t="s">
        <v>27</v>
      </c>
      <c r="C26" s="6">
        <v>0.35</v>
      </c>
      <c r="D26" s="6">
        <v>0.32</v>
      </c>
      <c r="E26" s="6">
        <v>0.3</v>
      </c>
      <c r="F26" s="6">
        <v>0.28000000000000003</v>
      </c>
      <c r="G26" s="6">
        <v>0.26</v>
      </c>
    </row>
    <row r="27" spans="2:7" ht="15" customHeight="1" x14ac:dyDescent="0.25">
      <c r="B27" s="4" t="s">
        <v>28</v>
      </c>
      <c r="C27" s="6">
        <v>0.22</v>
      </c>
      <c r="D27" s="6">
        <v>0.21</v>
      </c>
      <c r="E27" s="6">
        <v>0.2</v>
      </c>
      <c r="F27" s="6">
        <v>0.19</v>
      </c>
      <c r="G27" s="6">
        <v>0.18</v>
      </c>
    </row>
    <row r="28" spans="2:7" ht="15" customHeight="1" x14ac:dyDescent="0.25">
      <c r="B28" s="4" t="s">
        <v>29</v>
      </c>
      <c r="C28" s="6">
        <v>0.12</v>
      </c>
      <c r="D28" s="6">
        <v>0.11</v>
      </c>
      <c r="E28" s="6">
        <v>0.1</v>
      </c>
      <c r="F28" s="6">
        <v>0.09</v>
      </c>
      <c r="G28" s="6">
        <v>0.09</v>
      </c>
    </row>
    <row r="29" spans="2:7" ht="15" customHeight="1" x14ac:dyDescent="0.25">
      <c r="B29" s="4" t="s">
        <v>30</v>
      </c>
      <c r="C29" s="5">
        <v>1750</v>
      </c>
      <c r="D29" s="5">
        <v>1650</v>
      </c>
      <c r="E29" s="5">
        <v>1550</v>
      </c>
      <c r="F29" s="5">
        <v>1500</v>
      </c>
      <c r="G29" s="5">
        <v>1450</v>
      </c>
    </row>
  </sheetData>
  <mergeCells count="1">
    <mergeCell ref="B2:C2"/>
  </mergeCells>
  <pageMargins left="0.75" right="0.75" top="1" bottom="1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4472C4"/>
  </sheetPr>
  <dimension ref="B2:H49"/>
  <sheetViews>
    <sheetView zoomScaleNormal="100" workbookViewId="0"/>
  </sheetViews>
  <sheetFormatPr defaultColWidth="8.7109375" defaultRowHeight="15" customHeight="1" x14ac:dyDescent="0.25"/>
  <cols>
    <col min="1" max="1" width="4" customWidth="1"/>
    <col min="2" max="2" width="38" customWidth="1"/>
    <col min="3" max="8" width="15" customWidth="1"/>
  </cols>
  <sheetData>
    <row r="2" spans="2:8" ht="17.25" customHeight="1" x14ac:dyDescent="0.25">
      <c r="B2" s="42" t="s">
        <v>31</v>
      </c>
      <c r="C2" s="42"/>
    </row>
    <row r="4" spans="2:8" ht="15" customHeight="1" x14ac:dyDescent="0.25">
      <c r="B4" s="4"/>
      <c r="C4" s="8" t="s">
        <v>32</v>
      </c>
      <c r="D4" s="8" t="s">
        <v>17</v>
      </c>
      <c r="E4" s="8" t="s">
        <v>18</v>
      </c>
      <c r="F4" s="8" t="s">
        <v>19</v>
      </c>
      <c r="G4" s="8" t="s">
        <v>20</v>
      </c>
      <c r="H4" s="8" t="s">
        <v>21</v>
      </c>
    </row>
    <row r="5" spans="2:8" ht="15" customHeight="1" x14ac:dyDescent="0.25">
      <c r="B5" s="2" t="s">
        <v>33</v>
      </c>
      <c r="C5" s="3"/>
      <c r="D5" s="3"/>
      <c r="E5" s="3"/>
      <c r="F5" s="3"/>
      <c r="G5" s="3"/>
      <c r="H5" s="3"/>
    </row>
    <row r="6" spans="2:8" ht="15" customHeight="1" x14ac:dyDescent="0.25">
      <c r="B6" s="4" t="s">
        <v>34</v>
      </c>
      <c r="C6" s="9">
        <v>1120</v>
      </c>
      <c r="D6" s="10">
        <f>C9</f>
        <v>1240</v>
      </c>
      <c r="E6" s="10">
        <f>D9</f>
        <v>1300.8</v>
      </c>
      <c r="F6" s="10">
        <f>E9</f>
        <v>1464.2431999999999</v>
      </c>
      <c r="G6" s="10">
        <f>F9</f>
        <v>1716.4077056000001</v>
      </c>
      <c r="H6" s="10">
        <f>G9</f>
        <v>2036.7473745920001</v>
      </c>
    </row>
    <row r="7" spans="2:8" ht="15" customHeight="1" x14ac:dyDescent="0.25">
      <c r="B7" s="4" t="s">
        <v>35</v>
      </c>
      <c r="C7" s="9">
        <v>280</v>
      </c>
      <c r="D7" s="10">
        <f>C7*(1+Inputs!C18)</f>
        <v>358.40000000000003</v>
      </c>
      <c r="E7" s="10">
        <f>D7*(1+Inputs!D18)</f>
        <v>444.41600000000005</v>
      </c>
      <c r="F7" s="10">
        <f>E7*(1+Inputs!E18)</f>
        <v>533.29920000000004</v>
      </c>
      <c r="G7" s="10">
        <f>F7*(1+Inputs!F18)</f>
        <v>629.29305599999998</v>
      </c>
      <c r="H7" s="10">
        <f>G7*(1+Inputs!G18)</f>
        <v>723.68701439999995</v>
      </c>
    </row>
    <row r="8" spans="2:8" ht="15" customHeight="1" x14ac:dyDescent="0.25">
      <c r="B8" s="4" t="s">
        <v>36</v>
      </c>
      <c r="C8" s="9">
        <v>160</v>
      </c>
      <c r="D8" s="10">
        <f>D6*Inputs!C20*12</f>
        <v>297.60000000000002</v>
      </c>
      <c r="E8" s="10">
        <f>E6*Inputs!D20*12</f>
        <v>280.97279999999995</v>
      </c>
      <c r="F8" s="10">
        <f>F6*Inputs!E20*12</f>
        <v>281.13469439999994</v>
      </c>
      <c r="G8" s="10">
        <f>G6*Inputs!F20*12</f>
        <v>308.95338700800005</v>
      </c>
      <c r="H8" s="10">
        <f>H6*Inputs!G20*12</f>
        <v>342.173558931456</v>
      </c>
    </row>
    <row r="9" spans="2:8" ht="15" customHeight="1" x14ac:dyDescent="0.25">
      <c r="B9" s="4" t="s">
        <v>37</v>
      </c>
      <c r="C9" s="9">
        <v>1240</v>
      </c>
      <c r="D9" s="10">
        <f>D6-D8+D7</f>
        <v>1300.8</v>
      </c>
      <c r="E9" s="10">
        <f>E6-E8+E7</f>
        <v>1464.2431999999999</v>
      </c>
      <c r="F9" s="10">
        <f>F6-F8+F7</f>
        <v>1716.4077056000001</v>
      </c>
      <c r="G9" s="10">
        <f>G6-G8+G7</f>
        <v>2036.7473745920001</v>
      </c>
      <c r="H9" s="10">
        <f>H6-H8+H7</f>
        <v>2418.2608300605443</v>
      </c>
    </row>
    <row r="10" spans="2:8" ht="15" customHeight="1" x14ac:dyDescent="0.25">
      <c r="B10" s="4" t="s">
        <v>38</v>
      </c>
      <c r="C10" s="9">
        <v>120</v>
      </c>
      <c r="D10" s="10">
        <f>D7-D8</f>
        <v>60.800000000000011</v>
      </c>
      <c r="E10" s="10">
        <f>E7-E8</f>
        <v>163.4432000000001</v>
      </c>
      <c r="F10" s="10">
        <f>F7-F8</f>
        <v>252.1645056000001</v>
      </c>
      <c r="G10" s="10">
        <f>G7-G8</f>
        <v>320.33966899199993</v>
      </c>
      <c r="H10" s="10">
        <f>H7-H8</f>
        <v>381.51345546854395</v>
      </c>
    </row>
    <row r="11" spans="2:8" ht="15" customHeight="1" x14ac:dyDescent="0.25">
      <c r="B11" s="4" t="s">
        <v>39</v>
      </c>
      <c r="C11" s="11">
        <v>6774</v>
      </c>
      <c r="D11" s="12">
        <f>C11*(1+Inputs!C19)</f>
        <v>7112.7000000000007</v>
      </c>
      <c r="E11" s="12">
        <f>D11*(1+Inputs!D19)</f>
        <v>7539.4620000000014</v>
      </c>
      <c r="F11" s="12">
        <f>E11*(1+Inputs!E19)</f>
        <v>7916.4351000000015</v>
      </c>
      <c r="G11" s="12">
        <f>F11*(1+Inputs!F19)</f>
        <v>8233.092504000002</v>
      </c>
      <c r="H11" s="12">
        <f>G11*(1+Inputs!G19)</f>
        <v>8562.416204160003</v>
      </c>
    </row>
    <row r="13" spans="2:8" ht="15" customHeight="1" x14ac:dyDescent="0.25">
      <c r="B13" s="2" t="s">
        <v>40</v>
      </c>
      <c r="C13" s="3"/>
      <c r="D13" s="3"/>
      <c r="E13" s="3"/>
      <c r="F13" s="3"/>
      <c r="G13" s="3"/>
      <c r="H13" s="3"/>
    </row>
    <row r="14" spans="2:8" ht="15" customHeight="1" x14ac:dyDescent="0.25">
      <c r="B14" s="4" t="s">
        <v>41</v>
      </c>
      <c r="C14" s="11">
        <v>8400000</v>
      </c>
      <c r="D14" s="12">
        <f>D9*D11</f>
        <v>9252200.1600000001</v>
      </c>
      <c r="E14" s="12">
        <f>E9*E11</f>
        <v>11039605.965158401</v>
      </c>
      <c r="F14" s="12">
        <f>F9*F11</f>
        <v>13587830.20652231</v>
      </c>
      <c r="G14" s="12">
        <f>G9*G11</f>
        <v>16768729.54229508</v>
      </c>
      <c r="H14" s="12">
        <f>H9*H11</f>
        <v>20706155.717195824</v>
      </c>
    </row>
    <row r="15" spans="2:8" ht="15" customHeight="1" x14ac:dyDescent="0.25">
      <c r="B15" s="4" t="s">
        <v>42</v>
      </c>
      <c r="C15" s="11">
        <v>420000</v>
      </c>
      <c r="D15" s="12">
        <f>D14*0.05</f>
        <v>462610.00800000003</v>
      </c>
      <c r="E15" s="12">
        <f>E14*0.05</f>
        <v>551980.29825792008</v>
      </c>
      <c r="F15" s="12">
        <f>F14*0.05</f>
        <v>679391.51032611553</v>
      </c>
      <c r="G15" s="12">
        <f>G14*0.05</f>
        <v>838436.47711475403</v>
      </c>
      <c r="H15" s="12">
        <f>H14*0.05</f>
        <v>1035307.7858597912</v>
      </c>
    </row>
    <row r="16" spans="2:8" ht="15" customHeight="1" x14ac:dyDescent="0.25">
      <c r="B16" s="4" t="s">
        <v>43</v>
      </c>
      <c r="C16" s="11">
        <v>8820000</v>
      </c>
      <c r="D16" s="12">
        <f>D14+D15</f>
        <v>9714810.1679999996</v>
      </c>
      <c r="E16" s="12">
        <f>E14+E15</f>
        <v>11591586.263416322</v>
      </c>
      <c r="F16" s="12">
        <f>F14+F15</f>
        <v>14267221.716848426</v>
      </c>
      <c r="G16" s="12">
        <f>G14+G15</f>
        <v>17607166.019409835</v>
      </c>
      <c r="H16" s="12">
        <f>H14+H15</f>
        <v>21741463.503055613</v>
      </c>
    </row>
    <row r="17" spans="2:8" ht="15" customHeight="1" x14ac:dyDescent="0.25">
      <c r="B17" s="4" t="s">
        <v>44</v>
      </c>
      <c r="D17" s="13">
        <f>D16/C16-1</f>
        <v>0.10145239999999989</v>
      </c>
      <c r="E17" s="13">
        <f>E16/D16-1</f>
        <v>0.19318710947109485</v>
      </c>
      <c r="F17" s="13">
        <f>F16/E16-1</f>
        <v>0.23082565169501912</v>
      </c>
      <c r="G17" s="13">
        <f>G16/F16-1</f>
        <v>0.234099137789189</v>
      </c>
      <c r="H17" s="13">
        <f>H16/G16-1</f>
        <v>0.23480766178317403</v>
      </c>
    </row>
    <row r="19" spans="2:8" ht="15" customHeight="1" x14ac:dyDescent="0.25">
      <c r="B19" s="2" t="s">
        <v>45</v>
      </c>
      <c r="C19" s="3"/>
      <c r="D19" s="3"/>
      <c r="E19" s="3"/>
      <c r="F19" s="3"/>
      <c r="G19" s="3"/>
      <c r="H19" s="3"/>
    </row>
    <row r="20" spans="2:8" ht="15" customHeight="1" x14ac:dyDescent="0.25">
      <c r="B20" s="4" t="s">
        <v>46</v>
      </c>
      <c r="C20" s="11">
        <v>2293200</v>
      </c>
      <c r="D20" s="12">
        <f>D16*(1-Inputs!C21)</f>
        <v>2428702.5419999999</v>
      </c>
      <c r="E20" s="12">
        <f>E16*(1-Inputs!D21)</f>
        <v>2781980.7032199171</v>
      </c>
      <c r="F20" s="12">
        <f>F16*(1-Inputs!E21)</f>
        <v>3138788.7777066533</v>
      </c>
      <c r="G20" s="12">
        <f>G16*(1-Inputs!F21)</f>
        <v>3697504.8640760649</v>
      </c>
      <c r="H20" s="12">
        <f>H16*(1-Inputs!G21)</f>
        <v>4348292.700611122</v>
      </c>
    </row>
    <row r="21" spans="2:8" ht="15" customHeight="1" x14ac:dyDescent="0.25">
      <c r="B21" s="4" t="s">
        <v>47</v>
      </c>
      <c r="C21" s="11">
        <v>6526800</v>
      </c>
      <c r="D21" s="12">
        <f>D16-D20</f>
        <v>7286107.6260000002</v>
      </c>
      <c r="E21" s="12">
        <f>E16-E20</f>
        <v>8809605.5601964053</v>
      </c>
      <c r="F21" s="12">
        <f>F16-F20</f>
        <v>11128432.939141773</v>
      </c>
      <c r="G21" s="12">
        <f>G16-G20</f>
        <v>13909661.15533377</v>
      </c>
      <c r="H21" s="12">
        <f>H16-H20</f>
        <v>17393170.802444492</v>
      </c>
    </row>
    <row r="22" spans="2:8" ht="15" customHeight="1" x14ac:dyDescent="0.25">
      <c r="B22" s="4" t="s">
        <v>48</v>
      </c>
      <c r="C22" s="14">
        <v>0.74</v>
      </c>
      <c r="D22" s="13">
        <f>D21/D16</f>
        <v>0.75</v>
      </c>
      <c r="E22" s="13">
        <f>E21/E16</f>
        <v>0.76</v>
      </c>
      <c r="F22" s="13">
        <f>F21/F16</f>
        <v>0.78</v>
      </c>
      <c r="G22" s="13">
        <f>G21/G16</f>
        <v>0.79</v>
      </c>
      <c r="H22" s="13">
        <f>H21/H16</f>
        <v>0.8</v>
      </c>
    </row>
    <row r="24" spans="2:8" ht="15" customHeight="1" x14ac:dyDescent="0.25">
      <c r="B24" s="2" t="s">
        <v>49</v>
      </c>
      <c r="C24" s="3"/>
      <c r="D24" s="3"/>
      <c r="E24" s="3"/>
      <c r="F24" s="3"/>
      <c r="G24" s="3"/>
      <c r="H24" s="3"/>
    </row>
    <row r="25" spans="2:8" ht="15" customHeight="1" x14ac:dyDescent="0.25">
      <c r="B25" s="4" t="s">
        <v>50</v>
      </c>
      <c r="C25" s="11">
        <v>3087000</v>
      </c>
      <c r="D25" s="12">
        <f>D16*Inputs!C26</f>
        <v>3400183.5587999998</v>
      </c>
      <c r="E25" s="12">
        <f>E16*Inputs!D26</f>
        <v>3709307.604293223</v>
      </c>
      <c r="F25" s="12">
        <f>F16*Inputs!E26</f>
        <v>4280166.5150545277</v>
      </c>
      <c r="G25" s="12">
        <f>G16*Inputs!F26</f>
        <v>4930006.4854347548</v>
      </c>
      <c r="H25" s="12">
        <f>H16*Inputs!G26</f>
        <v>5652780.5107944598</v>
      </c>
    </row>
    <row r="26" spans="2:8" ht="15" customHeight="1" x14ac:dyDescent="0.25">
      <c r="B26" s="4" t="s">
        <v>51</v>
      </c>
      <c r="C26" s="11">
        <v>1940400</v>
      </c>
      <c r="D26" s="12">
        <f>D16*Inputs!C27</f>
        <v>2137258.2369599999</v>
      </c>
      <c r="E26" s="12">
        <f>E16*Inputs!D27</f>
        <v>2434233.1153174276</v>
      </c>
      <c r="F26" s="12">
        <f>F16*Inputs!E27</f>
        <v>2853444.3433696851</v>
      </c>
      <c r="G26" s="12">
        <f>G16*Inputs!F27</f>
        <v>3345361.5436878689</v>
      </c>
      <c r="H26" s="12">
        <f>H16*Inputs!G27</f>
        <v>3913463.4305500104</v>
      </c>
    </row>
    <row r="27" spans="2:8" ht="15" customHeight="1" x14ac:dyDescent="0.25">
      <c r="B27" s="4" t="s">
        <v>52</v>
      </c>
      <c r="C27" s="11">
        <v>1058400</v>
      </c>
      <c r="D27" s="12">
        <f>D16*Inputs!C28</f>
        <v>1165777.2201599998</v>
      </c>
      <c r="E27" s="12">
        <f>E16*Inputs!D28</f>
        <v>1275074.4889757955</v>
      </c>
      <c r="F27" s="12">
        <f>F16*Inputs!E28</f>
        <v>1426722.1716848426</v>
      </c>
      <c r="G27" s="12">
        <f>G16*Inputs!F28</f>
        <v>1584644.9417468852</v>
      </c>
      <c r="H27" s="12">
        <f>H16*Inputs!G28</f>
        <v>1956731.7152750052</v>
      </c>
    </row>
    <row r="28" spans="2:8" ht="15" customHeight="1" x14ac:dyDescent="0.25">
      <c r="B28" s="4" t="s">
        <v>53</v>
      </c>
      <c r="C28" s="11">
        <v>6085800</v>
      </c>
      <c r="D28" s="12">
        <f>SUM(D25:D27)</f>
        <v>6703219.0159200002</v>
      </c>
      <c r="E28" s="12">
        <f>SUM(E25:E27)</f>
        <v>7418615.2085864451</v>
      </c>
      <c r="F28" s="12">
        <f>SUM(F25:F27)</f>
        <v>8560333.0301090553</v>
      </c>
      <c r="G28" s="12">
        <f>SUM(G25:G27)</f>
        <v>9860012.9708695095</v>
      </c>
      <c r="H28" s="12">
        <f>SUM(H25:H27)</f>
        <v>11522975.656619474</v>
      </c>
    </row>
    <row r="29" spans="2:8" ht="15" customHeight="1" x14ac:dyDescent="0.25">
      <c r="B29" s="4" t="s">
        <v>54</v>
      </c>
      <c r="C29" s="14">
        <v>0.69</v>
      </c>
      <c r="D29" s="13">
        <f>D28/D16</f>
        <v>0.69000000000000006</v>
      </c>
      <c r="E29" s="13">
        <f>E28/E16</f>
        <v>0.6399999999999999</v>
      </c>
      <c r="F29" s="13">
        <f>F28/F16</f>
        <v>0.6</v>
      </c>
      <c r="G29" s="13">
        <f>G28/G16</f>
        <v>0.56000000000000005</v>
      </c>
      <c r="H29" s="13">
        <f>H28/H16</f>
        <v>0.52999999999999992</v>
      </c>
    </row>
    <row r="31" spans="2:8" ht="15" customHeight="1" x14ac:dyDescent="0.25">
      <c r="B31" s="2" t="s">
        <v>55</v>
      </c>
      <c r="C31" s="3"/>
      <c r="D31" s="3"/>
      <c r="E31" s="3"/>
      <c r="F31" s="3"/>
      <c r="G31" s="3"/>
      <c r="H31" s="3"/>
    </row>
    <row r="32" spans="2:8" ht="15" customHeight="1" x14ac:dyDescent="0.25">
      <c r="B32" s="4" t="s">
        <v>56</v>
      </c>
      <c r="C32" s="11">
        <v>440000</v>
      </c>
      <c r="D32" s="12">
        <f>D21-D28</f>
        <v>582888.61008000001</v>
      </c>
      <c r="E32" s="12">
        <f>E21-E28</f>
        <v>1390990.3516099602</v>
      </c>
      <c r="F32" s="12">
        <f>F21-F28</f>
        <v>2568099.9090327173</v>
      </c>
      <c r="G32" s="12">
        <f>G21-G28</f>
        <v>4049648.1844642609</v>
      </c>
      <c r="H32" s="12">
        <f>H21-H28</f>
        <v>5870195.1458250172</v>
      </c>
    </row>
    <row r="33" spans="2:8" ht="15" customHeight="1" x14ac:dyDescent="0.25">
      <c r="B33" s="4" t="s">
        <v>57</v>
      </c>
      <c r="C33" s="14">
        <v>0.05</v>
      </c>
      <c r="D33" s="13">
        <f>D32/D16</f>
        <v>6.0000000000000005E-2</v>
      </c>
      <c r="E33" s="13">
        <f>E32/E16</f>
        <v>0.12000000000000013</v>
      </c>
      <c r="F33" s="13">
        <f>F32/F16</f>
        <v>0.18000000000000005</v>
      </c>
      <c r="G33" s="13">
        <f>G32/G16</f>
        <v>0.22999999999999993</v>
      </c>
      <c r="H33" s="13">
        <f>H32/H16</f>
        <v>0.27000000000000007</v>
      </c>
    </row>
    <row r="34" spans="2:8" ht="15" customHeight="1" x14ac:dyDescent="0.25">
      <c r="B34" s="4" t="s">
        <v>58</v>
      </c>
      <c r="C34" s="11">
        <v>176000</v>
      </c>
      <c r="D34" s="12">
        <f>D16*0.02</f>
        <v>194296.20335999998</v>
      </c>
      <c r="E34" s="12">
        <f>E16*0.02</f>
        <v>231831.72526832644</v>
      </c>
      <c r="F34" s="12">
        <f>F16*0.02</f>
        <v>285344.43433696852</v>
      </c>
      <c r="G34" s="12">
        <f>G16*0.02</f>
        <v>352143.32038819673</v>
      </c>
      <c r="H34" s="12">
        <f>H16*0.02</f>
        <v>434829.2700611123</v>
      </c>
    </row>
    <row r="35" spans="2:8" ht="15" customHeight="1" x14ac:dyDescent="0.25">
      <c r="B35" s="4" t="s">
        <v>59</v>
      </c>
      <c r="C35" s="11">
        <v>264000</v>
      </c>
      <c r="D35" s="12">
        <f>D32-D34</f>
        <v>388592.40672000003</v>
      </c>
      <c r="E35" s="12">
        <f>E32-E34</f>
        <v>1159158.6263416337</v>
      </c>
      <c r="F35" s="12">
        <f>F32-F34</f>
        <v>2282755.4746957486</v>
      </c>
      <c r="G35" s="12">
        <f>G32-G34</f>
        <v>3697504.864076064</v>
      </c>
      <c r="H35" s="12">
        <f>H32-H34</f>
        <v>5435365.8757639052</v>
      </c>
    </row>
    <row r="36" spans="2:8" ht="15" customHeight="1" x14ac:dyDescent="0.25">
      <c r="B36" s="4" t="s">
        <v>60</v>
      </c>
      <c r="C36" s="11">
        <v>50700</v>
      </c>
      <c r="D36" s="12">
        <f>(C36/Inputs!G11)*Inputs!G11</f>
        <v>50700</v>
      </c>
      <c r="E36" s="12">
        <f>(C36/Inputs!G11)*Inputs!G11</f>
        <v>50700</v>
      </c>
      <c r="F36" s="12">
        <f>(C36/Inputs!G11)*Inputs!G11</f>
        <v>50700</v>
      </c>
      <c r="G36" s="12">
        <f>(C36/Inputs!G11)*Inputs!G11</f>
        <v>50700</v>
      </c>
      <c r="H36" s="12">
        <f>(C36/Inputs!G11)*Inputs!G11</f>
        <v>50700</v>
      </c>
    </row>
    <row r="37" spans="2:8" ht="15" customHeight="1" x14ac:dyDescent="0.25">
      <c r="B37" s="4" t="s">
        <v>61</v>
      </c>
      <c r="C37" s="11">
        <v>213300</v>
      </c>
      <c r="D37" s="12">
        <f>D35-D36</f>
        <v>337892.40672000003</v>
      </c>
      <c r="E37" s="12">
        <f>E35-E36</f>
        <v>1108458.6263416337</v>
      </c>
      <c r="F37" s="12">
        <f>F35-F36</f>
        <v>2232055.4746957486</v>
      </c>
      <c r="G37" s="12">
        <f>G35-G36</f>
        <v>3646804.864076064</v>
      </c>
      <c r="H37" s="12">
        <f>H35-H36</f>
        <v>5384665.8757639052</v>
      </c>
    </row>
    <row r="38" spans="2:8" ht="15" customHeight="1" x14ac:dyDescent="0.25">
      <c r="B38" s="4" t="s">
        <v>62</v>
      </c>
      <c r="C38" s="11">
        <v>53325</v>
      </c>
      <c r="D38" s="12">
        <f>D37*Inputs!G7</f>
        <v>84473.101680000007</v>
      </c>
      <c r="E38" s="12">
        <f>E37*Inputs!G7</f>
        <v>277114.65658540843</v>
      </c>
      <c r="F38" s="12">
        <f>F37*Inputs!G7</f>
        <v>558013.86867393716</v>
      </c>
      <c r="G38" s="12">
        <f>G37*Inputs!G7</f>
        <v>911701.21601901599</v>
      </c>
      <c r="H38" s="12">
        <f>H37*Inputs!G7</f>
        <v>1346166.4689409763</v>
      </c>
    </row>
    <row r="39" spans="2:8" ht="15" customHeight="1" x14ac:dyDescent="0.25">
      <c r="B39" s="4" t="s">
        <v>63</v>
      </c>
      <c r="C39" s="11">
        <v>159975</v>
      </c>
      <c r="D39" s="12">
        <f>D37-D38</f>
        <v>253419.30504000001</v>
      </c>
      <c r="E39" s="12">
        <f>E37-E38</f>
        <v>831343.96975622536</v>
      </c>
      <c r="F39" s="12">
        <f>F37-F38</f>
        <v>1674041.6060218115</v>
      </c>
      <c r="G39" s="12">
        <f>G37-G38</f>
        <v>2735103.6480570482</v>
      </c>
      <c r="H39" s="12">
        <f>H37-H38</f>
        <v>4038499.4068229292</v>
      </c>
    </row>
    <row r="40" spans="2:8" ht="15" customHeight="1" x14ac:dyDescent="0.25">
      <c r="B40" s="4" t="s">
        <v>64</v>
      </c>
      <c r="C40" s="14">
        <v>1.7999999999999999E-2</v>
      </c>
      <c r="D40" s="13">
        <f>D39/D16</f>
        <v>2.6085873080129548E-2</v>
      </c>
      <c r="E40" s="13">
        <f>E39/E16</f>
        <v>7.1719603414417257E-2</v>
      </c>
      <c r="F40" s="13">
        <f>F39/F16</f>
        <v>0.11733479995232042</v>
      </c>
      <c r="G40" s="13">
        <f>G39/G16</f>
        <v>0.15534036795256642</v>
      </c>
      <c r="H40" s="13">
        <f>H39/H16</f>
        <v>0.18575103770062884</v>
      </c>
    </row>
    <row r="42" spans="2:8" ht="15" customHeight="1" x14ac:dyDescent="0.25">
      <c r="B42" s="2" t="s">
        <v>65</v>
      </c>
      <c r="C42" s="3"/>
      <c r="D42" s="3"/>
      <c r="E42" s="3"/>
      <c r="F42" s="3"/>
      <c r="G42" s="3"/>
      <c r="H42" s="3"/>
    </row>
    <row r="43" spans="2:8" ht="15" customHeight="1" x14ac:dyDescent="0.25">
      <c r="B43" s="4" t="s">
        <v>66</v>
      </c>
      <c r="C43" s="11">
        <v>700000</v>
      </c>
      <c r="D43" s="12">
        <f>D14/12</f>
        <v>771016.68</v>
      </c>
      <c r="E43" s="12">
        <f>E14/12</f>
        <v>919967.16376320005</v>
      </c>
      <c r="F43" s="12">
        <f>F14/12</f>
        <v>1132319.1838768593</v>
      </c>
      <c r="G43" s="12">
        <f>G14/12</f>
        <v>1397394.1285245901</v>
      </c>
      <c r="H43" s="12">
        <f>H14/12</f>
        <v>1725512.9764329854</v>
      </c>
    </row>
    <row r="44" spans="2:8" ht="15" customHeight="1" x14ac:dyDescent="0.25">
      <c r="B44" s="4" t="s">
        <v>67</v>
      </c>
      <c r="C44" s="11">
        <v>18567</v>
      </c>
      <c r="D44" s="12">
        <f>D11/Inputs!C20</f>
        <v>355635</v>
      </c>
      <c r="E44" s="12">
        <f>E11/Inputs!D20</f>
        <v>418859.00000000012</v>
      </c>
      <c r="F44" s="12">
        <f>F11/Inputs!E20</f>
        <v>494777.19375000009</v>
      </c>
      <c r="G44" s="12">
        <f>G11/Inputs!F20</f>
        <v>548872.83360000013</v>
      </c>
      <c r="H44" s="12">
        <f>H11/Inputs!G20</f>
        <v>611601.15744000021</v>
      </c>
    </row>
    <row r="45" spans="2:8" ht="15" customHeight="1" x14ac:dyDescent="0.25">
      <c r="B45" s="4" t="s">
        <v>68</v>
      </c>
      <c r="C45" s="11">
        <v>1850</v>
      </c>
      <c r="D45" s="12">
        <f>Inputs!C29</f>
        <v>1750</v>
      </c>
      <c r="E45" s="12">
        <f>Inputs!D29</f>
        <v>1650</v>
      </c>
      <c r="F45" s="12">
        <f>Inputs!E29</f>
        <v>1550</v>
      </c>
      <c r="G45" s="12">
        <f>Inputs!F29</f>
        <v>1500</v>
      </c>
      <c r="H45" s="12">
        <f>Inputs!G29</f>
        <v>1450</v>
      </c>
    </row>
    <row r="46" spans="2:8" ht="15" customHeight="1" x14ac:dyDescent="0.25">
      <c r="B46" s="4" t="s">
        <v>69</v>
      </c>
      <c r="C46" s="15">
        <v>10</v>
      </c>
      <c r="D46" s="16">
        <f>D44/D45</f>
        <v>203.22</v>
      </c>
      <c r="E46" s="16">
        <f>E44/E45</f>
        <v>253.85393939393947</v>
      </c>
      <c r="F46" s="16">
        <f>F44/F45</f>
        <v>319.21109274193554</v>
      </c>
      <c r="G46" s="16">
        <f>G44/G45</f>
        <v>365.91522240000006</v>
      </c>
      <c r="H46" s="16">
        <f>H44/H45</f>
        <v>421.79390168275876</v>
      </c>
    </row>
    <row r="47" spans="2:8" ht="15" customHeight="1" x14ac:dyDescent="0.25">
      <c r="B47" s="4" t="s">
        <v>70</v>
      </c>
      <c r="C47" s="17">
        <v>16.399999999999999</v>
      </c>
      <c r="D47" s="18">
        <f>D45/(D11/12)</f>
        <v>2.9524653085326245</v>
      </c>
      <c r="E47" s="18">
        <f>E45/(E11/12)</f>
        <v>2.6261820803659459</v>
      </c>
      <c r="F47" s="18">
        <f>F45/(F11/12)</f>
        <v>2.3495424095626065</v>
      </c>
      <c r="G47" s="18">
        <f>G45/(G11/12)</f>
        <v>2.1862987682034181</v>
      </c>
      <c r="H47" s="18">
        <f>H45/(H11/12)</f>
        <v>2.0321366755736898</v>
      </c>
    </row>
    <row r="48" spans="2:8" ht="15" customHeight="1" x14ac:dyDescent="0.25">
      <c r="B48" s="4" t="s">
        <v>71</v>
      </c>
      <c r="C48" s="14">
        <v>1.08</v>
      </c>
      <c r="D48" s="13">
        <f>(1+Inputs!C19)*(1-Inputs!C20*12)</f>
        <v>0.79800000000000004</v>
      </c>
      <c r="E48" s="13">
        <f>(1+Inputs!D19)*(1-Inputs!D20*12)</f>
        <v>0.83104000000000011</v>
      </c>
      <c r="F48" s="13">
        <f>(1+Inputs!E19)*(1-Inputs!E20*12)</f>
        <v>0.84840000000000004</v>
      </c>
      <c r="G48" s="13">
        <f>(1+Inputs!F19)*(1-Inputs!F20*12)</f>
        <v>0.85280000000000011</v>
      </c>
      <c r="H48" s="13">
        <f>(1+Inputs!G19)*(1-Inputs!G20*12)</f>
        <v>0.86527999999999994</v>
      </c>
    </row>
    <row r="49" spans="2:8" ht="15" customHeight="1" x14ac:dyDescent="0.25">
      <c r="B49" s="4" t="s">
        <v>72</v>
      </c>
      <c r="D49" s="18">
        <f>D17+D33</f>
        <v>0.16145239999999988</v>
      </c>
      <c r="E49" s="18">
        <f>E17+E33</f>
        <v>0.31318710947109496</v>
      </c>
      <c r="F49" s="18">
        <f>F17+F33</f>
        <v>0.41082565169501917</v>
      </c>
      <c r="G49" s="18">
        <f>G17+G33</f>
        <v>0.46409913778918893</v>
      </c>
      <c r="H49" s="18">
        <f>H17+H33</f>
        <v>0.50480766178317404</v>
      </c>
    </row>
  </sheetData>
  <mergeCells count="1">
    <mergeCell ref="B2:C2"/>
  </mergeCells>
  <pageMargins left="0.75" right="0.75" top="1" bottom="1" header="0.511811023622047" footer="0.511811023622047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ED7D31"/>
  </sheetPr>
  <dimension ref="A1:B6"/>
  <sheetViews>
    <sheetView zoomScaleNormal="100" workbookViewId="0"/>
  </sheetViews>
  <sheetFormatPr defaultColWidth="8.7109375" defaultRowHeight="15" customHeight="1" x14ac:dyDescent="0.25"/>
  <cols>
    <col min="1" max="1" width="14" customWidth="1"/>
    <col min="2" max="2" width="20.85546875" customWidth="1"/>
  </cols>
  <sheetData>
    <row r="1" spans="1:2" ht="24" x14ac:dyDescent="0.4">
      <c r="A1" s="19" t="s">
        <v>73</v>
      </c>
    </row>
    <row r="2" spans="1:2" ht="18.75" x14ac:dyDescent="0.3">
      <c r="A2" s="20" t="s">
        <v>74</v>
      </c>
    </row>
    <row r="4" spans="1:2" x14ac:dyDescent="0.25">
      <c r="A4" s="21" t="s">
        <v>75</v>
      </c>
      <c r="B4" s="22" t="s">
        <v>96</v>
      </c>
    </row>
    <row r="5" spans="1:2" ht="15" customHeight="1" x14ac:dyDescent="0.25">
      <c r="B5" t="s">
        <v>97</v>
      </c>
    </row>
    <row r="6" spans="1:2" ht="15" customHeight="1" x14ac:dyDescent="0.25">
      <c r="B6" t="s">
        <v>98</v>
      </c>
    </row>
  </sheetData>
  <pageMargins left="0.75" right="0.75" top="1" bottom="1" header="0.511811023622047" footer="0.511811023622047"/>
  <pageSetup paperSize="9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ED7D31"/>
  </sheetPr>
  <dimension ref="A1:B6"/>
  <sheetViews>
    <sheetView zoomScaleNormal="100" workbookViewId="0"/>
  </sheetViews>
  <sheetFormatPr defaultColWidth="8.7109375" defaultRowHeight="15" customHeight="1" x14ac:dyDescent="0.25"/>
  <cols>
    <col min="1" max="1" width="14" customWidth="1"/>
    <col min="2" max="2" width="18.28515625" customWidth="1"/>
  </cols>
  <sheetData>
    <row r="1" spans="1:2" ht="24" x14ac:dyDescent="0.4">
      <c r="A1" s="19" t="s">
        <v>94</v>
      </c>
    </row>
    <row r="2" spans="1:2" ht="18.75" x14ac:dyDescent="0.3">
      <c r="A2" s="20" t="s">
        <v>74</v>
      </c>
    </row>
    <row r="4" spans="1:2" x14ac:dyDescent="0.25">
      <c r="A4" s="21" t="s">
        <v>75</v>
      </c>
      <c r="B4" s="22" t="s">
        <v>99</v>
      </c>
    </row>
    <row r="5" spans="1:2" ht="15" customHeight="1" x14ac:dyDescent="0.25">
      <c r="B5" t="s">
        <v>100</v>
      </c>
    </row>
    <row r="6" spans="1:2" ht="15" customHeight="1" x14ac:dyDescent="0.25">
      <c r="B6" t="s">
        <v>101</v>
      </c>
    </row>
  </sheetData>
  <pageMargins left="0.75" right="0.75" top="1" bottom="1" header="0.511811023622047" footer="0.511811023622047"/>
  <pageSetup paperSize="9" orientation="portrait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92D050"/>
  </sheetPr>
  <dimension ref="A1:I91"/>
  <sheetViews>
    <sheetView zoomScaleNormal="100" workbookViewId="0"/>
  </sheetViews>
  <sheetFormatPr defaultColWidth="8.7109375" defaultRowHeight="15" customHeight="1" outlineLevelRow="1" x14ac:dyDescent="0.25"/>
  <cols>
    <col min="1" max="1" width="4.7109375" customWidth="1"/>
    <col min="2" max="2" width="28.140625" customWidth="1"/>
    <col min="3" max="3" width="16" customWidth="1"/>
    <col min="5" max="5" width="16" customWidth="1"/>
    <col min="7" max="7" width="16" customWidth="1"/>
  </cols>
  <sheetData>
    <row r="1" spans="1:9" x14ac:dyDescent="0.25"/>
    <row r="2" spans="1:9" ht="18" x14ac:dyDescent="0.25">
      <c r="B2" s="42" t="s">
        <v>76</v>
      </c>
      <c r="C2" s="42"/>
    </row>
    <row r="3" spans="1:9" x14ac:dyDescent="0.25"/>
    <row r="4" spans="1:9" ht="15" customHeight="1" x14ac:dyDescent="0.25">
      <c r="A4" s="21"/>
      <c r="B4" s="22"/>
    </row>
    <row r="5" spans="1:9" ht="15" customHeight="1" x14ac:dyDescent="0.25">
      <c r="A5" s="21"/>
      <c r="B5" s="22"/>
      <c r="C5" s="23" t="s">
        <v>77</v>
      </c>
      <c r="D5" s="36" t="s">
        <v>117</v>
      </c>
      <c r="E5" s="24" t="s">
        <v>78</v>
      </c>
      <c r="F5" s="36" t="s">
        <v>117</v>
      </c>
      <c r="G5" s="25" t="s">
        <v>79</v>
      </c>
      <c r="H5" s="36" t="s">
        <v>117</v>
      </c>
    </row>
    <row r="6" spans="1:9" ht="15" customHeight="1" x14ac:dyDescent="0.25">
      <c r="B6" s="4" t="s">
        <v>80</v>
      </c>
      <c r="C6" s="6">
        <v>0.28000000000000003</v>
      </c>
      <c r="E6" s="6">
        <v>0.35</v>
      </c>
      <c r="G6" s="6">
        <v>0.18</v>
      </c>
    </row>
    <row r="7" spans="1:9" ht="15" customHeight="1" x14ac:dyDescent="0.25">
      <c r="B7" s="4" t="s">
        <v>81</v>
      </c>
      <c r="C7" s="6">
        <v>0.15</v>
      </c>
      <c r="E7" s="6">
        <v>0.22</v>
      </c>
      <c r="G7" s="6">
        <v>0.08</v>
      </c>
    </row>
    <row r="8" spans="1:9" ht="15" customHeight="1" x14ac:dyDescent="0.25">
      <c r="B8" s="4" t="s">
        <v>82</v>
      </c>
      <c r="C8" s="6">
        <v>0.02</v>
      </c>
      <c r="E8" s="6">
        <v>1.7999999999999999E-2</v>
      </c>
      <c r="G8" s="6">
        <v>2.5000000000000001E-2</v>
      </c>
    </row>
    <row r="9" spans="1:9" ht="15" customHeight="1" x14ac:dyDescent="0.25">
      <c r="B9" s="4" t="s">
        <v>83</v>
      </c>
      <c r="C9" s="6">
        <v>1.4E-2</v>
      </c>
      <c r="E9" s="6">
        <v>0.01</v>
      </c>
      <c r="G9" s="6">
        <v>0.02</v>
      </c>
    </row>
    <row r="10" spans="1:9" ht="15" customHeight="1" x14ac:dyDescent="0.25">
      <c r="B10" s="4" t="s">
        <v>23</v>
      </c>
      <c r="C10" s="6">
        <v>0.05</v>
      </c>
      <c r="E10" s="6">
        <v>0.08</v>
      </c>
      <c r="G10" s="6">
        <v>0.03</v>
      </c>
    </row>
    <row r="11" spans="1:9" ht="15" customHeight="1" x14ac:dyDescent="0.25">
      <c r="B11" s="4" t="s">
        <v>84</v>
      </c>
      <c r="C11" s="6">
        <v>0.8</v>
      </c>
      <c r="E11" s="6">
        <v>0.82</v>
      </c>
      <c r="G11" s="6">
        <v>0.76</v>
      </c>
    </row>
    <row r="12" spans="1:9" ht="15" customHeight="1" x14ac:dyDescent="0.25">
      <c r="B12" s="4" t="s">
        <v>85</v>
      </c>
      <c r="C12" s="6">
        <v>0.26</v>
      </c>
      <c r="E12" s="6">
        <v>0.24</v>
      </c>
      <c r="G12" s="6">
        <v>0.3</v>
      </c>
    </row>
    <row r="13" spans="1:9" ht="15" customHeight="1" x14ac:dyDescent="0.25">
      <c r="B13" s="4" t="s">
        <v>86</v>
      </c>
      <c r="C13" s="6">
        <v>0.18</v>
      </c>
      <c r="E13" s="6">
        <v>0.17</v>
      </c>
      <c r="G13" s="6">
        <v>0.2</v>
      </c>
    </row>
    <row r="16" spans="1:9" ht="15" customHeight="1" x14ac:dyDescent="0.25">
      <c r="B16" s="2" t="s">
        <v>87</v>
      </c>
      <c r="C16" s="3"/>
      <c r="D16" s="3"/>
      <c r="E16" s="3"/>
      <c r="F16" s="3"/>
      <c r="G16" s="3"/>
      <c r="H16" s="3"/>
      <c r="I16" s="3"/>
    </row>
    <row r="17" spans="2:8" ht="15" customHeight="1" x14ac:dyDescent="0.25">
      <c r="B17" s="4" t="s">
        <v>88</v>
      </c>
      <c r="C17">
        <f>G40</f>
        <v>20988595.767027136</v>
      </c>
      <c r="D17" s="37" t="s">
        <v>118</v>
      </c>
      <c r="E17">
        <f>G62</f>
        <v>31463398.768425617</v>
      </c>
      <c r="F17" s="38">
        <f>E17/C17-1</f>
        <v>0.49907116786985273</v>
      </c>
      <c r="G17">
        <f>G84</f>
        <v>12822317.540802244</v>
      </c>
      <c r="H17" s="40">
        <f>G17/C17-1</f>
        <v>-0.38908168592460246</v>
      </c>
    </row>
    <row r="18" spans="2:8" ht="15" customHeight="1" x14ac:dyDescent="0.25">
      <c r="B18" s="4" t="s">
        <v>89</v>
      </c>
      <c r="C18">
        <f>G47</f>
        <v>4094104.7916334667</v>
      </c>
      <c r="D18" s="37" t="s">
        <v>118</v>
      </c>
      <c r="E18">
        <f>G69</f>
        <v>7395202.9590405524</v>
      </c>
      <c r="F18" s="38">
        <f>E18/C18-1</f>
        <v>0.80630524508143164</v>
      </c>
      <c r="G18">
        <f>G91</f>
        <v>1476611.2595072652</v>
      </c>
      <c r="H18" s="40">
        <f>G18/C18-1</f>
        <v>-0.63933232424221198</v>
      </c>
    </row>
    <row r="19" spans="2:8" ht="15" customHeight="1" x14ac:dyDescent="0.25">
      <c r="B19" s="4" t="s">
        <v>90</v>
      </c>
      <c r="C19">
        <f>G46</f>
        <v>0.26999999999999996</v>
      </c>
      <c r="D19" s="37" t="s">
        <v>118</v>
      </c>
      <c r="E19">
        <f>G68</f>
        <v>0.32</v>
      </c>
      <c r="F19" s="39">
        <f>E19-C19</f>
        <v>5.0000000000000044E-2</v>
      </c>
      <c r="G19">
        <f>G90</f>
        <v>0.17</v>
      </c>
      <c r="H19" s="41">
        <f>G19-C19</f>
        <v>-9.999999999999995E-2</v>
      </c>
    </row>
    <row r="20" spans="2:8" ht="15" customHeight="1" x14ac:dyDescent="0.25">
      <c r="B20" s="4" t="s">
        <v>91</v>
      </c>
      <c r="C20">
        <f>G38</f>
        <v>2427.6814261728514</v>
      </c>
      <c r="D20" s="37" t="s">
        <v>118</v>
      </c>
      <c r="E20">
        <f>G60</f>
        <v>3161.1249665430987</v>
      </c>
      <c r="F20" s="38">
        <f>E20/C20-1</f>
        <v>0.30211688093132283</v>
      </c>
      <c r="G20">
        <f>G82</f>
        <v>1632.8083476319996</v>
      </c>
      <c r="H20" s="40">
        <f>G20/C20-1</f>
        <v>-0.32742066976800133</v>
      </c>
    </row>
    <row r="21" spans="2:8" ht="15" customHeight="1" x14ac:dyDescent="0.25">
      <c r="B21" s="4" t="s">
        <v>92</v>
      </c>
    </row>
    <row r="22" spans="2:8" ht="15" customHeight="1" x14ac:dyDescent="0.25">
      <c r="B22" s="4" t="s">
        <v>93</v>
      </c>
    </row>
    <row r="25" spans="2:8" ht="15" customHeight="1" outlineLevel="1" x14ac:dyDescent="0.25">
      <c r="B25" s="26" t="s">
        <v>104</v>
      </c>
      <c r="C25" s="27"/>
      <c r="D25" s="27"/>
      <c r="E25" s="27"/>
      <c r="F25" s="27"/>
      <c r="G25" s="27"/>
    </row>
    <row r="26" spans="2:8" ht="15" customHeight="1" outlineLevel="1" x14ac:dyDescent="0.25"/>
    <row r="27" spans="2:8" ht="15" customHeight="1" outlineLevel="1" x14ac:dyDescent="0.25">
      <c r="B27" s="28" t="s">
        <v>105</v>
      </c>
      <c r="C27" s="31" t="s">
        <v>17</v>
      </c>
      <c r="D27" s="29" t="s">
        <v>18</v>
      </c>
      <c r="E27" s="29" t="s">
        <v>19</v>
      </c>
      <c r="F27" s="29" t="s">
        <v>20</v>
      </c>
      <c r="G27" s="29" t="s">
        <v>21</v>
      </c>
      <c r="H27" s="29"/>
    </row>
    <row r="28" spans="2:8" ht="15" customHeight="1" outlineLevel="1" x14ac:dyDescent="0.25">
      <c r="B28" s="30" t="s">
        <v>106</v>
      </c>
      <c r="C28">
        <f>C6</f>
        <v>0.28000000000000003</v>
      </c>
      <c r="D28" s="13">
        <f>C6+(C7-C6)*1/4</f>
        <v>0.24750000000000003</v>
      </c>
      <c r="E28" s="13">
        <f>C6+(C7-C6)*2/4</f>
        <v>0.21500000000000002</v>
      </c>
      <c r="F28" s="13">
        <f>C6+(C7-C6)*3/4</f>
        <v>0.1825</v>
      </c>
      <c r="G28">
        <f>C7</f>
        <v>0.15</v>
      </c>
    </row>
    <row r="29" spans="2:8" ht="15" customHeight="1" outlineLevel="1" x14ac:dyDescent="0.25">
      <c r="B29" s="30" t="s">
        <v>24</v>
      </c>
      <c r="C29">
        <f>C8</f>
        <v>0.02</v>
      </c>
      <c r="D29" s="13">
        <f>C8+(C9-C8)*1/4</f>
        <v>1.8499999999999999E-2</v>
      </c>
      <c r="E29" s="13">
        <f>C8+(C9-C8)*2/4</f>
        <v>1.7000000000000001E-2</v>
      </c>
      <c r="F29" s="13">
        <f>C8+(C9-C8)*3/4</f>
        <v>1.55E-2</v>
      </c>
      <c r="G29">
        <f>C9</f>
        <v>1.4E-2</v>
      </c>
    </row>
    <row r="30" spans="2:8" ht="15" customHeight="1" outlineLevel="1" x14ac:dyDescent="0.25">
      <c r="B30" s="30" t="s">
        <v>23</v>
      </c>
      <c r="C30">
        <f>C10</f>
        <v>0.05</v>
      </c>
      <c r="D30">
        <f>C10</f>
        <v>0.05</v>
      </c>
      <c r="E30">
        <f>C10</f>
        <v>0.05</v>
      </c>
      <c r="F30">
        <f>C10</f>
        <v>0.05</v>
      </c>
      <c r="G30">
        <f>C10</f>
        <v>0.05</v>
      </c>
    </row>
    <row r="31" spans="2:8" ht="15" customHeight="1" outlineLevel="1" x14ac:dyDescent="0.25">
      <c r="B31" s="30" t="s">
        <v>107</v>
      </c>
      <c r="C31">
        <f>Inputs!C11+(C11-Inputs!C11)*1/5</f>
        <v>0.752</v>
      </c>
      <c r="D31">
        <f>Inputs!C11+(C11-Inputs!C11)*2/5</f>
        <v>0.76400000000000001</v>
      </c>
      <c r="E31">
        <f>Inputs!C11+(C11-Inputs!C11)*3/5</f>
        <v>0.77600000000000002</v>
      </c>
      <c r="F31">
        <f>Inputs!C11+(C11-Inputs!C11)*4/5</f>
        <v>0.78800000000000003</v>
      </c>
      <c r="G31">
        <f>C11</f>
        <v>0.8</v>
      </c>
    </row>
    <row r="32" spans="2:8" ht="15" customHeight="1" outlineLevel="1" x14ac:dyDescent="0.25">
      <c r="B32" s="30" t="s">
        <v>108</v>
      </c>
      <c r="C32">
        <f>Inputs!C26+(C12-Inputs!C26)*1/5</f>
        <v>0.33199999999999996</v>
      </c>
      <c r="D32">
        <f>Inputs!C26+(C12-Inputs!C26)*2/5</f>
        <v>0.314</v>
      </c>
      <c r="E32">
        <f>Inputs!C26+(C12-Inputs!C26)*3/5</f>
        <v>0.29599999999999999</v>
      </c>
      <c r="F32">
        <f>Inputs!C26+(C12-Inputs!C26)*4/5</f>
        <v>0.27800000000000002</v>
      </c>
      <c r="G32">
        <f>C12</f>
        <v>0.26</v>
      </c>
    </row>
    <row r="33" spans="2:7" ht="15" customHeight="1" outlineLevel="1" x14ac:dyDescent="0.25">
      <c r="B33" s="30" t="s">
        <v>109</v>
      </c>
      <c r="C33">
        <f>Inputs!C27+(C13-Inputs!C27)*1/5</f>
        <v>0.21199999999999999</v>
      </c>
      <c r="D33">
        <f>Inputs!C27+(C13-Inputs!C27)*2/5</f>
        <v>0.20399999999999999</v>
      </c>
      <c r="E33">
        <f>Inputs!C27+(C13-Inputs!C27)*3/5</f>
        <v>0.19600000000000001</v>
      </c>
      <c r="F33">
        <f>Inputs!C27+(C13-Inputs!C27)*4/5</f>
        <v>0.188</v>
      </c>
      <c r="G33">
        <f>C13</f>
        <v>0.18</v>
      </c>
    </row>
    <row r="34" spans="2:7" ht="15" customHeight="1" outlineLevel="1" x14ac:dyDescent="0.25"/>
    <row r="35" spans="2:7" ht="15" customHeight="1" outlineLevel="1" x14ac:dyDescent="0.25">
      <c r="B35" s="30" t="s">
        <v>34</v>
      </c>
      <c r="C35">
        <f>Inputs!C8</f>
        <v>1240</v>
      </c>
      <c r="D35">
        <f>C38</f>
        <v>1300.8</v>
      </c>
      <c r="E35">
        <f>D38</f>
        <v>1459.1264000000001</v>
      </c>
      <c r="F35">
        <f>E38</f>
        <v>1704.6959744000001</v>
      </c>
      <c r="G35">
        <f>F38</f>
        <v>2029.9936063616001</v>
      </c>
    </row>
    <row r="36" spans="2:7" ht="15" customHeight="1" outlineLevel="1" x14ac:dyDescent="0.25">
      <c r="B36" s="30" t="s">
        <v>35</v>
      </c>
      <c r="C36">
        <f>Model!C7*(1+C28)</f>
        <v>358.40000000000003</v>
      </c>
      <c r="D36">
        <f>C36*(1+D28)</f>
        <v>447.10400000000004</v>
      </c>
      <c r="E36">
        <f>D36*(1+E28)</f>
        <v>543.23136000000011</v>
      </c>
      <c r="F36">
        <f>E36*(1+F28)</f>
        <v>642.37108320000016</v>
      </c>
      <c r="G36">
        <f>F36*(1+G28)</f>
        <v>738.72674568000014</v>
      </c>
    </row>
    <row r="37" spans="2:7" ht="15" customHeight="1" outlineLevel="1" x14ac:dyDescent="0.25">
      <c r="B37" s="30" t="s">
        <v>36</v>
      </c>
      <c r="C37">
        <f>C35*C29*12</f>
        <v>297.60000000000002</v>
      </c>
      <c r="D37">
        <f>D35*D29*12</f>
        <v>288.77760000000001</v>
      </c>
      <c r="E37">
        <f>E35*E29*12</f>
        <v>297.66178560000003</v>
      </c>
      <c r="F37">
        <f>F35*F29*12</f>
        <v>317.07345123840003</v>
      </c>
      <c r="G37">
        <f>G35*G29*12</f>
        <v>341.03892586874883</v>
      </c>
    </row>
    <row r="38" spans="2:7" ht="15" customHeight="1" outlineLevel="1" x14ac:dyDescent="0.25">
      <c r="B38" s="30" t="s">
        <v>37</v>
      </c>
      <c r="C38">
        <f>C35-C37+C36</f>
        <v>1300.8</v>
      </c>
      <c r="D38">
        <f>D35-D37+D36</f>
        <v>1459.1264000000001</v>
      </c>
      <c r="E38">
        <f>E35-E37+E36</f>
        <v>1704.6959744000001</v>
      </c>
      <c r="F38">
        <f>F35-F37+F36</f>
        <v>2029.9936063616001</v>
      </c>
      <c r="G38">
        <f>G35-G37+G36</f>
        <v>2427.6814261728514</v>
      </c>
    </row>
    <row r="39" spans="2:7" ht="15" customHeight="1" outlineLevel="1" x14ac:dyDescent="0.25">
      <c r="B39" s="30" t="s">
        <v>110</v>
      </c>
      <c r="C39">
        <f>Model!C11*(1+C30)</f>
        <v>7112.7000000000007</v>
      </c>
      <c r="D39">
        <f>C39*(1+D30)</f>
        <v>7468.3350000000009</v>
      </c>
      <c r="E39">
        <f>D39*(1+E30)</f>
        <v>7841.7517500000013</v>
      </c>
      <c r="F39">
        <f>E39*(1+F30)</f>
        <v>8233.8393375000014</v>
      </c>
      <c r="G39">
        <f>F39*(1+G30)</f>
        <v>8645.5313043750011</v>
      </c>
    </row>
    <row r="40" spans="2:7" ht="15" customHeight="1" outlineLevel="1" x14ac:dyDescent="0.25">
      <c r="B40" s="30" t="s">
        <v>111</v>
      </c>
      <c r="C40">
        <f>C38*C39</f>
        <v>9252200.1600000001</v>
      </c>
      <c r="D40">
        <f>D38*D39</f>
        <v>10897244.762544002</v>
      </c>
      <c r="E40">
        <f>E38*E39</f>
        <v>13367802.640469158</v>
      </c>
      <c r="F40">
        <f>F38*F39</f>
        <v>16714641.210933635</v>
      </c>
      <c r="G40">
        <f>G38*G39</f>
        <v>20988595.767027136</v>
      </c>
    </row>
    <row r="41" spans="2:7" ht="15" customHeight="1" outlineLevel="1" x14ac:dyDescent="0.25">
      <c r="B41" s="30" t="s">
        <v>112</v>
      </c>
      <c r="C41">
        <f>C40*0.05</f>
        <v>462610.00800000003</v>
      </c>
      <c r="D41">
        <f>D40*0.05</f>
        <v>544862.23812720017</v>
      </c>
      <c r="E41">
        <f>E40*0.05</f>
        <v>668390.1320234579</v>
      </c>
      <c r="F41">
        <f>F40*0.05</f>
        <v>835732.06054668175</v>
      </c>
      <c r="G41">
        <f>G40*0.05</f>
        <v>1049429.7883513568</v>
      </c>
    </row>
    <row r="42" spans="2:7" ht="15" customHeight="1" outlineLevel="1" x14ac:dyDescent="0.25">
      <c r="B42" s="30" t="s">
        <v>43</v>
      </c>
      <c r="C42">
        <f>C40+C41</f>
        <v>9714810.1679999996</v>
      </c>
      <c r="D42">
        <f>D40+D41</f>
        <v>11442107.000671202</v>
      </c>
      <c r="E42">
        <f>E40+E41</f>
        <v>14036192.772492616</v>
      </c>
      <c r="F42">
        <f>F40+F41</f>
        <v>17550373.271480318</v>
      </c>
      <c r="G42">
        <f>G40+G41</f>
        <v>22038025.555378493</v>
      </c>
    </row>
    <row r="43" spans="2:7" ht="15" customHeight="1" outlineLevel="1" x14ac:dyDescent="0.25">
      <c r="B43" s="30" t="s">
        <v>47</v>
      </c>
      <c r="C43">
        <f>C42*C31</f>
        <v>7305537.246336</v>
      </c>
      <c r="D43">
        <f>D42*D31</f>
        <v>8741769.7485127989</v>
      </c>
      <c r="E43">
        <f>E42*E31</f>
        <v>10892085.591454269</v>
      </c>
      <c r="F43">
        <f>F42*F31</f>
        <v>13829694.137926491</v>
      </c>
      <c r="G43">
        <f>G42*G31</f>
        <v>17630420.444302794</v>
      </c>
    </row>
    <row r="44" spans="2:7" ht="15" customHeight="1" outlineLevel="1" x14ac:dyDescent="0.25">
      <c r="B44" s="30" t="s">
        <v>113</v>
      </c>
      <c r="C44">
        <f>C42*(C32+C33+0.09)</f>
        <v>6159189.646511999</v>
      </c>
      <c r="D44">
        <f>D42*(D32+D33+0.09)</f>
        <v>6956801.0564080905</v>
      </c>
      <c r="E44">
        <f>E42*(E32+E33+0.09)</f>
        <v>8169064.1935907016</v>
      </c>
      <c r="F44">
        <f>F42*(F32+F33+0.09)</f>
        <v>9758007.5389430579</v>
      </c>
      <c r="G44">
        <f>G42*(G32+G33+0.09)</f>
        <v>11680153.544350602</v>
      </c>
    </row>
    <row r="45" spans="2:7" ht="15" customHeight="1" outlineLevel="1" x14ac:dyDescent="0.25">
      <c r="B45" s="30" t="s">
        <v>56</v>
      </c>
      <c r="C45">
        <f>C43-C44</f>
        <v>1146347.5998240011</v>
      </c>
      <c r="D45">
        <f>D43-D44</f>
        <v>1784968.6921047084</v>
      </c>
      <c r="E45">
        <f>E43-E44</f>
        <v>2723021.3978635678</v>
      </c>
      <c r="F45">
        <f>F43-F44</f>
        <v>4071686.5989834331</v>
      </c>
      <c r="G45">
        <f>G43-G44</f>
        <v>5950266.8999521919</v>
      </c>
    </row>
    <row r="46" spans="2:7" ht="15" customHeight="1" outlineLevel="1" x14ac:dyDescent="0.25">
      <c r="B46" s="30" t="s">
        <v>114</v>
      </c>
      <c r="C46">
        <f>C45/C42</f>
        <v>0.11800000000000012</v>
      </c>
      <c r="D46">
        <f>D45/D42</f>
        <v>0.15600000000000008</v>
      </c>
      <c r="E46">
        <f>E45/E42</f>
        <v>0.19400000000000003</v>
      </c>
      <c r="F46">
        <f>F45/F42</f>
        <v>0.23199999999999996</v>
      </c>
      <c r="G46">
        <f>G45/G42</f>
        <v>0.26999999999999996</v>
      </c>
    </row>
    <row r="47" spans="2:7" ht="15" customHeight="1" outlineLevel="1" x14ac:dyDescent="0.25">
      <c r="B47" s="30" t="s">
        <v>63</v>
      </c>
      <c r="C47">
        <f>(C45-C42*0.02-Model!C36)*(1-Inputs!G7)</f>
        <v>676013.54734800081</v>
      </c>
      <c r="D47">
        <f>(D45-D42*0.02-Model!C36)*(1-Inputs!G7)</f>
        <v>1129069.9140684633</v>
      </c>
      <c r="E47">
        <f>(E45-E42*0.02-Model!C36)*(1-Inputs!G7)</f>
        <v>1793698.1568102865</v>
      </c>
      <c r="F47">
        <f>(F45-F42*0.02-Model!C36)*(1-Inputs!G7)</f>
        <v>2752484.3501653699</v>
      </c>
      <c r="G47">
        <f>(G45-G42*0.02-Model!C36)*(1-Inputs!G7)</f>
        <v>4094104.7916334667</v>
      </c>
    </row>
    <row r="48" spans="2:7" ht="15" customHeight="1" outlineLevel="1" x14ac:dyDescent="0.25"/>
    <row r="49" spans="2:7" ht="15" customHeight="1" outlineLevel="1" x14ac:dyDescent="0.25">
      <c r="B49" s="32" t="s">
        <v>115</v>
      </c>
      <c r="C49" s="33"/>
      <c r="D49" s="29" t="s">
        <v>17</v>
      </c>
      <c r="E49" s="29" t="s">
        <v>18</v>
      </c>
      <c r="F49" s="29" t="s">
        <v>19</v>
      </c>
      <c r="G49" s="29" t="s">
        <v>21</v>
      </c>
    </row>
    <row r="50" spans="2:7" ht="15" customHeight="1" outlineLevel="1" x14ac:dyDescent="0.25">
      <c r="B50" s="30" t="s">
        <v>106</v>
      </c>
      <c r="C50">
        <f>E6</f>
        <v>0.35</v>
      </c>
      <c r="D50" s="13">
        <f>E6+(E7-E6)*1/4</f>
        <v>0.3175</v>
      </c>
      <c r="E50" s="13">
        <f>E6+(E7-E6)*2/4</f>
        <v>0.28499999999999998</v>
      </c>
      <c r="F50" s="13">
        <f>E6+(E7-E6)*3/4</f>
        <v>0.2525</v>
      </c>
      <c r="G50">
        <f>E7</f>
        <v>0.22</v>
      </c>
    </row>
    <row r="51" spans="2:7" ht="15" customHeight="1" outlineLevel="1" x14ac:dyDescent="0.25">
      <c r="B51" s="30" t="s">
        <v>24</v>
      </c>
      <c r="C51">
        <f>E8</f>
        <v>1.7999999999999999E-2</v>
      </c>
      <c r="D51" s="13">
        <f>E8+(E9-E8)*1/4</f>
        <v>1.6E-2</v>
      </c>
      <c r="E51" s="13">
        <f>E8+(E9-E8)*2/4</f>
        <v>1.3999999999999999E-2</v>
      </c>
      <c r="F51" s="13">
        <f>E8+(E9-E8)*3/4</f>
        <v>1.2E-2</v>
      </c>
      <c r="G51">
        <f>E9</f>
        <v>0.01</v>
      </c>
    </row>
    <row r="52" spans="2:7" ht="15" customHeight="1" outlineLevel="1" x14ac:dyDescent="0.25">
      <c r="B52" s="30" t="s">
        <v>23</v>
      </c>
      <c r="C52">
        <f>E10</f>
        <v>0.08</v>
      </c>
      <c r="D52">
        <f>E10</f>
        <v>0.08</v>
      </c>
      <c r="E52">
        <f>E10</f>
        <v>0.08</v>
      </c>
      <c r="F52">
        <f>E10</f>
        <v>0.08</v>
      </c>
      <c r="G52">
        <f>E10</f>
        <v>0.08</v>
      </c>
    </row>
    <row r="53" spans="2:7" ht="15" customHeight="1" outlineLevel="1" x14ac:dyDescent="0.25">
      <c r="B53" s="30" t="s">
        <v>107</v>
      </c>
      <c r="C53">
        <f>Inputs!C11+(E11-Inputs!C11)*1/5</f>
        <v>0.75600000000000001</v>
      </c>
      <c r="D53">
        <f>Inputs!C11+(E11-Inputs!C11)*2/5</f>
        <v>0.77200000000000002</v>
      </c>
      <c r="E53">
        <f>Inputs!C11+(E11-Inputs!C11)*3/5</f>
        <v>0.78799999999999992</v>
      </c>
      <c r="F53">
        <f>Inputs!C11+(E11-Inputs!C11)*4/5</f>
        <v>0.80399999999999994</v>
      </c>
      <c r="G53">
        <f>E11</f>
        <v>0.82</v>
      </c>
    </row>
    <row r="54" spans="2:7" ht="15" customHeight="1" outlineLevel="1" x14ac:dyDescent="0.25">
      <c r="B54" s="30" t="s">
        <v>108</v>
      </c>
      <c r="C54">
        <f>Inputs!C26+(E12-Inputs!C26)*1/5</f>
        <v>0.32799999999999996</v>
      </c>
      <c r="D54">
        <f>Inputs!C26+(E12-Inputs!C26)*2/5</f>
        <v>0.30599999999999999</v>
      </c>
      <c r="E54">
        <f>Inputs!C26+(E12-Inputs!C26)*3/5</f>
        <v>0.28399999999999997</v>
      </c>
      <c r="F54">
        <f>Inputs!C26+(E12-Inputs!C26)*4/5</f>
        <v>0.26200000000000001</v>
      </c>
      <c r="G54">
        <f>E12</f>
        <v>0.24</v>
      </c>
    </row>
    <row r="55" spans="2:7" ht="15" customHeight="1" outlineLevel="1" x14ac:dyDescent="0.25">
      <c r="B55" s="30" t="s">
        <v>109</v>
      </c>
      <c r="C55">
        <f>Inputs!C27+(E13-Inputs!C27)*1/5</f>
        <v>0.21</v>
      </c>
      <c r="D55">
        <f>Inputs!C27+(E13-Inputs!C27)*2/5</f>
        <v>0.2</v>
      </c>
      <c r="E55">
        <f>Inputs!C27+(E13-Inputs!C27)*3/5</f>
        <v>0.19</v>
      </c>
      <c r="F55">
        <f>Inputs!C27+(E13-Inputs!C27)*4/5</f>
        <v>0.18</v>
      </c>
      <c r="G55">
        <f>E13</f>
        <v>0.17</v>
      </c>
    </row>
    <row r="56" spans="2:7" ht="15" customHeight="1" outlineLevel="1" x14ac:dyDescent="0.25"/>
    <row r="57" spans="2:7" ht="15" customHeight="1" outlineLevel="1" x14ac:dyDescent="0.25">
      <c r="B57" s="30" t="s">
        <v>34</v>
      </c>
      <c r="C57">
        <f>Inputs!C8</f>
        <v>1240</v>
      </c>
      <c r="D57">
        <f>C60</f>
        <v>1350.16</v>
      </c>
      <c r="E57">
        <f>D60</f>
        <v>1588.9442800000002</v>
      </c>
      <c r="F57">
        <f>E60</f>
        <v>1961.9509159600002</v>
      </c>
      <c r="G57">
        <f>F60</f>
        <v>2480.9664509992599</v>
      </c>
    </row>
    <row r="58" spans="2:7" ht="15" customHeight="1" outlineLevel="1" x14ac:dyDescent="0.25">
      <c r="B58" s="30" t="s">
        <v>35</v>
      </c>
      <c r="C58">
        <f>Model!C7*(1+C50)</f>
        <v>378</v>
      </c>
      <c r="D58">
        <f>C58*(1+D50)</f>
        <v>498.01499999999999</v>
      </c>
      <c r="E58">
        <f>D58*(1+E50)</f>
        <v>639.94927499999994</v>
      </c>
      <c r="F58">
        <f>E58*(1+F50)</f>
        <v>801.53646693749988</v>
      </c>
      <c r="G58">
        <f>F58*(1+G50)</f>
        <v>977.87448966374984</v>
      </c>
    </row>
    <row r="59" spans="2:7" ht="15" customHeight="1" outlineLevel="1" x14ac:dyDescent="0.25">
      <c r="B59" s="30" t="s">
        <v>36</v>
      </c>
      <c r="C59">
        <f>C57*C51*12</f>
        <v>267.83999999999997</v>
      </c>
      <c r="D59">
        <f>D57*D51*12</f>
        <v>259.23072000000002</v>
      </c>
      <c r="E59">
        <f>E57*E51*12</f>
        <v>266.94263904000002</v>
      </c>
      <c r="F59">
        <f>F57*F51*12</f>
        <v>282.52093189824001</v>
      </c>
      <c r="G59">
        <f>G57*G51*12</f>
        <v>297.71597411991121</v>
      </c>
    </row>
    <row r="60" spans="2:7" ht="15" customHeight="1" outlineLevel="1" x14ac:dyDescent="0.25">
      <c r="B60" s="30" t="s">
        <v>37</v>
      </c>
      <c r="C60">
        <f>C57-C59+C58</f>
        <v>1350.16</v>
      </c>
      <c r="D60">
        <f>D57-D59+D58</f>
        <v>1588.9442800000002</v>
      </c>
      <c r="E60">
        <f>E57-E59+E58</f>
        <v>1961.9509159600002</v>
      </c>
      <c r="F60">
        <f>F57-F59+F58</f>
        <v>2480.9664509992599</v>
      </c>
      <c r="G60">
        <f>G57-G59+G58</f>
        <v>3161.1249665430987</v>
      </c>
    </row>
    <row r="61" spans="2:7" ht="15" customHeight="1" outlineLevel="1" x14ac:dyDescent="0.25">
      <c r="B61" s="30" t="s">
        <v>110</v>
      </c>
      <c r="C61">
        <f>Model!C11*(1+C52)</f>
        <v>7315.92</v>
      </c>
      <c r="D61">
        <f>C61*(1+D52)</f>
        <v>7901.1936000000005</v>
      </c>
      <c r="E61">
        <f>D61*(1+E52)</f>
        <v>8533.2890880000014</v>
      </c>
      <c r="F61">
        <f>E61*(1+F52)</f>
        <v>9215.9522150400026</v>
      </c>
      <c r="G61">
        <f>F61*(1+G52)</f>
        <v>9953.2283922432034</v>
      </c>
    </row>
    <row r="62" spans="2:7" ht="15" customHeight="1" outlineLevel="1" x14ac:dyDescent="0.25">
      <c r="B62" s="30" t="s">
        <v>111</v>
      </c>
      <c r="C62">
        <f>C60*C61</f>
        <v>9877662.5471999999</v>
      </c>
      <c r="D62">
        <f>D60*D61</f>
        <v>12554556.375892609</v>
      </c>
      <c r="E62">
        <f>E60*E61</f>
        <v>16741894.342353078</v>
      </c>
      <c r="F62">
        <f>F60*F61</f>
        <v>22864468.259526562</v>
      </c>
      <c r="G62">
        <f>G60*G61</f>
        <v>31463398.768425617</v>
      </c>
    </row>
    <row r="63" spans="2:7" ht="15" customHeight="1" outlineLevel="1" x14ac:dyDescent="0.25">
      <c r="B63" s="30" t="s">
        <v>112</v>
      </c>
      <c r="C63">
        <f>C62*0.05</f>
        <v>493883.12736000004</v>
      </c>
      <c r="D63">
        <f>D62*0.05</f>
        <v>627727.81879463047</v>
      </c>
      <c r="E63">
        <f>E62*0.05</f>
        <v>837094.71711765393</v>
      </c>
      <c r="F63">
        <f>F62*0.05</f>
        <v>1143223.4129763281</v>
      </c>
      <c r="G63">
        <f>G62*0.05</f>
        <v>1573169.9384212811</v>
      </c>
    </row>
    <row r="64" spans="2:7" ht="15" customHeight="1" outlineLevel="1" x14ac:dyDescent="0.25">
      <c r="B64" s="30" t="s">
        <v>43</v>
      </c>
      <c r="C64">
        <f>C62+C63</f>
        <v>10371545.674559999</v>
      </c>
      <c r="D64">
        <f>D62+D63</f>
        <v>13182284.19468724</v>
      </c>
      <c r="E64">
        <f>E62+E63</f>
        <v>17578989.059470732</v>
      </c>
      <c r="F64">
        <f>F62+F63</f>
        <v>24007691.67250289</v>
      </c>
      <c r="G64">
        <f>G62+G63</f>
        <v>33036568.7068469</v>
      </c>
    </row>
    <row r="65" spans="2:7" ht="15" customHeight="1" outlineLevel="1" x14ac:dyDescent="0.25">
      <c r="B65" s="30" t="s">
        <v>47</v>
      </c>
      <c r="C65">
        <f>C64*C53</f>
        <v>7840888.5299673593</v>
      </c>
      <c r="D65">
        <f>D64*D53</f>
        <v>10176723.398298549</v>
      </c>
      <c r="E65">
        <f>E64*E53</f>
        <v>13852243.378862936</v>
      </c>
      <c r="F65">
        <f>F64*F53</f>
        <v>19302184.104692321</v>
      </c>
      <c r="G65">
        <f>G64*G53</f>
        <v>27089986.339614458</v>
      </c>
    </row>
    <row r="66" spans="2:7" ht="15" customHeight="1" outlineLevel="1" x14ac:dyDescent="0.25">
      <c r="B66" s="30" t="s">
        <v>113</v>
      </c>
      <c r="C66">
        <f>C64*(C54+C55+0.09)</f>
        <v>6513330.6836236781</v>
      </c>
      <c r="D66">
        <f>D64*(D54+D55+0.09)</f>
        <v>7856641.3800335946</v>
      </c>
      <c r="E66">
        <f>E64*(E54+E55+0.09)</f>
        <v>9914549.8295414913</v>
      </c>
      <c r="F66">
        <f>F64*(F54+F55+0.09)</f>
        <v>12772091.969771538</v>
      </c>
      <c r="G66">
        <f>G64*(G54+G55+0.09)</f>
        <v>16518284.35342345</v>
      </c>
    </row>
    <row r="67" spans="2:7" ht="15" customHeight="1" outlineLevel="1" x14ac:dyDescent="0.25">
      <c r="B67" s="30" t="s">
        <v>56</v>
      </c>
      <c r="C67">
        <f>C65-C66</f>
        <v>1327557.8463436812</v>
      </c>
      <c r="D67">
        <f>D65-D66</f>
        <v>2320082.018264954</v>
      </c>
      <c r="E67">
        <f>E65-E66</f>
        <v>3937693.5493214447</v>
      </c>
      <c r="F67">
        <f>F65-F66</f>
        <v>6530092.1349207833</v>
      </c>
      <c r="G67">
        <f>G65-G66</f>
        <v>10571701.986191008</v>
      </c>
    </row>
    <row r="68" spans="2:7" ht="15" customHeight="1" outlineLevel="1" x14ac:dyDescent="0.25">
      <c r="B68" s="30" t="s">
        <v>114</v>
      </c>
      <c r="C68">
        <f>C67/C64</f>
        <v>0.12800000000000011</v>
      </c>
      <c r="D68">
        <f>D67/D64</f>
        <v>0.17599999999999999</v>
      </c>
      <c r="E68">
        <f>E67/E64</f>
        <v>0.22400000000000003</v>
      </c>
      <c r="F68">
        <f>F67/F64</f>
        <v>0.27199999999999991</v>
      </c>
      <c r="G68">
        <f>G67/G64</f>
        <v>0.32</v>
      </c>
    </row>
    <row r="69" spans="2:7" ht="15" customHeight="1" outlineLevel="1" x14ac:dyDescent="0.25">
      <c r="B69" s="30" t="s">
        <v>63</v>
      </c>
      <c r="C69">
        <f>(C67-C64*0.02-Model!C36)*(1-Inputs!G7)</f>
        <v>802070.19963936089</v>
      </c>
      <c r="D69">
        <f>(D67-D64*0.02-Model!C36)*(1-Inputs!G7)</f>
        <v>1504302.2507784069</v>
      </c>
      <c r="E69">
        <f>(E67-E64*0.02-Model!C36)*(1-Inputs!G7)</f>
        <v>2651560.3260990223</v>
      </c>
      <c r="F69">
        <f>(F67-F64*0.02-Model!C36)*(1-Inputs!G7)</f>
        <v>4499428.7261030441</v>
      </c>
      <c r="G69">
        <f>(G67-G64*0.02-Model!C36)*(1-Inputs!G7)</f>
        <v>7395202.9590405524</v>
      </c>
    </row>
    <row r="70" spans="2:7" ht="15" customHeight="1" outlineLevel="1" x14ac:dyDescent="0.25"/>
    <row r="71" spans="2:7" ht="15" customHeight="1" outlineLevel="1" x14ac:dyDescent="0.25">
      <c r="B71" s="34" t="s">
        <v>116</v>
      </c>
      <c r="C71" s="35"/>
      <c r="D71" s="29" t="s">
        <v>17</v>
      </c>
      <c r="E71" s="29" t="s">
        <v>18</v>
      </c>
      <c r="F71" s="29" t="s">
        <v>19</v>
      </c>
      <c r="G71" s="29" t="s">
        <v>21</v>
      </c>
    </row>
    <row r="72" spans="2:7" ht="15" customHeight="1" outlineLevel="1" x14ac:dyDescent="0.25">
      <c r="B72" s="30" t="s">
        <v>106</v>
      </c>
      <c r="C72">
        <f>G6</f>
        <v>0.18</v>
      </c>
      <c r="D72" s="13">
        <f>G6+(G7-G6)*1/4</f>
        <v>0.155</v>
      </c>
      <c r="E72" s="13">
        <f>G6+(G7-G6)*2/4</f>
        <v>0.13</v>
      </c>
      <c r="F72" s="13">
        <f>G6+(G7-G6)*3/4</f>
        <v>0.105</v>
      </c>
      <c r="G72">
        <f>G7</f>
        <v>0.08</v>
      </c>
    </row>
    <row r="73" spans="2:7" ht="15" customHeight="1" outlineLevel="1" x14ac:dyDescent="0.25">
      <c r="B73" s="30" t="s">
        <v>24</v>
      </c>
      <c r="C73">
        <f>G8</f>
        <v>2.5000000000000001E-2</v>
      </c>
      <c r="D73" s="13">
        <f>G8+(G9-G8)*1/4</f>
        <v>2.375E-2</v>
      </c>
      <c r="E73" s="13">
        <f>G8+(G9-G8)*2/4</f>
        <v>2.2499999999999999E-2</v>
      </c>
      <c r="F73" s="13">
        <f>G8+(G9-G8)*3/4</f>
        <v>2.1250000000000002E-2</v>
      </c>
      <c r="G73">
        <f>G9</f>
        <v>0.02</v>
      </c>
    </row>
    <row r="74" spans="2:7" ht="15" customHeight="1" outlineLevel="1" x14ac:dyDescent="0.25">
      <c r="B74" s="30" t="s">
        <v>23</v>
      </c>
      <c r="C74">
        <f>G10</f>
        <v>0.03</v>
      </c>
      <c r="D74">
        <f>G10</f>
        <v>0.03</v>
      </c>
      <c r="E74">
        <f>G10</f>
        <v>0.03</v>
      </c>
      <c r="F74">
        <f>G10</f>
        <v>0.03</v>
      </c>
      <c r="G74">
        <f>G10</f>
        <v>0.03</v>
      </c>
    </row>
    <row r="75" spans="2:7" ht="15" customHeight="1" outlineLevel="1" x14ac:dyDescent="0.25">
      <c r="B75" s="30" t="s">
        <v>107</v>
      </c>
      <c r="C75">
        <f>Inputs!C11+(G11-Inputs!C11)*1/5</f>
        <v>0.74399999999999999</v>
      </c>
      <c r="D75">
        <f>Inputs!C11+(G11-Inputs!C11)*2/5</f>
        <v>0.748</v>
      </c>
      <c r="E75">
        <f>Inputs!C11+(G11-Inputs!C11)*3/5</f>
        <v>0.752</v>
      </c>
      <c r="F75">
        <f>Inputs!C11+(G11-Inputs!C11)*4/5</f>
        <v>0.75600000000000001</v>
      </c>
      <c r="G75">
        <f>G11</f>
        <v>0.76</v>
      </c>
    </row>
    <row r="76" spans="2:7" ht="15" customHeight="1" outlineLevel="1" x14ac:dyDescent="0.25">
      <c r="B76" s="30" t="s">
        <v>108</v>
      </c>
      <c r="C76">
        <f>Inputs!C26+(G12-Inputs!C26)*1/5</f>
        <v>0.33999999999999997</v>
      </c>
      <c r="D76">
        <f>Inputs!C26+(G12-Inputs!C26)*2/5</f>
        <v>0.32999999999999996</v>
      </c>
      <c r="E76">
        <f>Inputs!C26+(G12-Inputs!C26)*3/5</f>
        <v>0.32</v>
      </c>
      <c r="F76">
        <f>Inputs!C26+(G12-Inputs!C26)*4/5</f>
        <v>0.31</v>
      </c>
      <c r="G76">
        <f>G12</f>
        <v>0.3</v>
      </c>
    </row>
    <row r="77" spans="2:7" ht="15" customHeight="1" outlineLevel="1" x14ac:dyDescent="0.25">
      <c r="B77" s="30" t="s">
        <v>109</v>
      </c>
      <c r="C77">
        <f>Inputs!C27+(G13-Inputs!C27)*1/5</f>
        <v>0.216</v>
      </c>
      <c r="D77">
        <f>Inputs!C27+(G13-Inputs!C27)*2/5</f>
        <v>0.21199999999999999</v>
      </c>
      <c r="E77">
        <f>Inputs!C27+(G13-Inputs!C27)*3/5</f>
        <v>0.20800000000000002</v>
      </c>
      <c r="F77">
        <f>Inputs!C27+(G13-Inputs!C27)*4/5</f>
        <v>0.20400000000000001</v>
      </c>
      <c r="G77">
        <f>G13</f>
        <v>0.2</v>
      </c>
    </row>
    <row r="78" spans="2:7" ht="15" customHeight="1" outlineLevel="1" x14ac:dyDescent="0.25"/>
    <row r="79" spans="2:7" ht="15" customHeight="1" outlineLevel="1" x14ac:dyDescent="0.25">
      <c r="B79" s="30" t="s">
        <v>34</v>
      </c>
      <c r="C79">
        <f>Inputs!C8</f>
        <v>1240</v>
      </c>
      <c r="D79">
        <f>C82</f>
        <v>1198.4000000000001</v>
      </c>
      <c r="E79">
        <f>D82</f>
        <v>1238.4679999999998</v>
      </c>
      <c r="F79">
        <f>E82</f>
        <v>1335.3031999999998</v>
      </c>
      <c r="G79">
        <f>F82</f>
        <v>1471.3007077999996</v>
      </c>
    </row>
    <row r="80" spans="2:7" ht="15" customHeight="1" outlineLevel="1" x14ac:dyDescent="0.25">
      <c r="B80" s="30" t="s">
        <v>35</v>
      </c>
      <c r="C80">
        <f>Model!C7*(1+C72)</f>
        <v>330.4</v>
      </c>
      <c r="D80">
        <f>C80*(1+D72)</f>
        <v>381.61199999999997</v>
      </c>
      <c r="E80">
        <f>D80*(1+E72)</f>
        <v>431.2215599999999</v>
      </c>
      <c r="F80">
        <f>E80*(1+F72)</f>
        <v>476.49982379999989</v>
      </c>
      <c r="G80">
        <f>F80*(1+G72)</f>
        <v>514.61980970399986</v>
      </c>
    </row>
    <row r="81" spans="2:7" ht="15" customHeight="1" outlineLevel="1" x14ac:dyDescent="0.25">
      <c r="B81" s="30" t="s">
        <v>36</v>
      </c>
      <c r="C81">
        <f>C79*C73*12</f>
        <v>372</v>
      </c>
      <c r="D81">
        <f>D79*D73*12</f>
        <v>341.54400000000004</v>
      </c>
      <c r="E81">
        <f>E79*E73*12</f>
        <v>334.38635999999997</v>
      </c>
      <c r="F81">
        <f>F79*F73*12</f>
        <v>340.50231600000001</v>
      </c>
      <c r="G81">
        <f>G79*G73*12</f>
        <v>353.11216987199992</v>
      </c>
    </row>
    <row r="82" spans="2:7" ht="15" customHeight="1" outlineLevel="1" x14ac:dyDescent="0.25">
      <c r="B82" s="30" t="s">
        <v>37</v>
      </c>
      <c r="C82">
        <f>C79-C81+C80</f>
        <v>1198.4000000000001</v>
      </c>
      <c r="D82">
        <f>D79-D81+D80</f>
        <v>1238.4679999999998</v>
      </c>
      <c r="E82">
        <f>E79-E81+E80</f>
        <v>1335.3031999999998</v>
      </c>
      <c r="F82">
        <f>F79-F81+F80</f>
        <v>1471.3007077999996</v>
      </c>
      <c r="G82">
        <f>G79-G81+G80</f>
        <v>1632.8083476319996</v>
      </c>
    </row>
    <row r="83" spans="2:7" ht="15" customHeight="1" outlineLevel="1" x14ac:dyDescent="0.25">
      <c r="B83" s="30" t="s">
        <v>110</v>
      </c>
      <c r="C83">
        <f>Model!C11*(1+C74)</f>
        <v>6977.22</v>
      </c>
      <c r="D83">
        <f>C83*(1+D74)</f>
        <v>7186.5366000000004</v>
      </c>
      <c r="E83">
        <f>D83*(1+E74)</f>
        <v>7402.1326980000003</v>
      </c>
      <c r="F83">
        <f>E83*(1+F74)</f>
        <v>7624.1966789400003</v>
      </c>
      <c r="G83">
        <f>F83*(1+G74)</f>
        <v>7852.9225793082005</v>
      </c>
    </row>
    <row r="84" spans="2:7" ht="15" customHeight="1" outlineLevel="1" x14ac:dyDescent="0.25">
      <c r="B84" s="30" t="s">
        <v>111</v>
      </c>
      <c r="C84">
        <f>C82*C83</f>
        <v>8361500.4480000008</v>
      </c>
      <c r="D84">
        <f>D82*D83</f>
        <v>8900295.6099287998</v>
      </c>
      <c r="E84">
        <f>E82*E83</f>
        <v>9884091.4784640335</v>
      </c>
      <c r="F84">
        <f>F82*F83</f>
        <v>11217485.970130829</v>
      </c>
      <c r="G84">
        <f>G82*G83</f>
        <v>12822317.540802244</v>
      </c>
    </row>
    <row r="85" spans="2:7" ht="15" customHeight="1" outlineLevel="1" x14ac:dyDescent="0.25">
      <c r="B85" s="30" t="s">
        <v>112</v>
      </c>
      <c r="C85">
        <f>C84*0.05</f>
        <v>418075.02240000007</v>
      </c>
      <c r="D85">
        <f>D84*0.05</f>
        <v>445014.78049644001</v>
      </c>
      <c r="E85">
        <f>E84*0.05</f>
        <v>494204.57392320171</v>
      </c>
      <c r="F85">
        <f>F84*0.05</f>
        <v>560874.29850654153</v>
      </c>
      <c r="G85">
        <f>G84*0.05</f>
        <v>641115.87704011227</v>
      </c>
    </row>
    <row r="86" spans="2:7" ht="15" customHeight="1" outlineLevel="1" x14ac:dyDescent="0.25">
      <c r="B86" s="30" t="s">
        <v>43</v>
      </c>
      <c r="C86">
        <f>C84+C85</f>
        <v>8779575.4704</v>
      </c>
      <c r="D86">
        <f>D84+D85</f>
        <v>9345310.3904252406</v>
      </c>
      <c r="E86">
        <f>E84+E85</f>
        <v>10378296.052387236</v>
      </c>
      <c r="F86">
        <f>F84+F85</f>
        <v>11778360.26863737</v>
      </c>
      <c r="G86">
        <f>G84+G85</f>
        <v>13463433.417842356</v>
      </c>
    </row>
    <row r="87" spans="2:7" ht="15" customHeight="1" outlineLevel="1" x14ac:dyDescent="0.25">
      <c r="B87" s="30" t="s">
        <v>47</v>
      </c>
      <c r="C87">
        <f>C86*C75</f>
        <v>6532004.1499776002</v>
      </c>
      <c r="D87">
        <f>D86*D75</f>
        <v>6990292.1720380802</v>
      </c>
      <c r="E87">
        <f>E86*E75</f>
        <v>7804478.6313952012</v>
      </c>
      <c r="F87">
        <f>F86*F75</f>
        <v>8904440.363089852</v>
      </c>
      <c r="G87">
        <f>G86*G75</f>
        <v>10232209.39756019</v>
      </c>
    </row>
    <row r="88" spans="2:7" ht="15" customHeight="1" outlineLevel="1" x14ac:dyDescent="0.25">
      <c r="B88" s="30" t="s">
        <v>113</v>
      </c>
      <c r="C88">
        <f>C86*(C76+C77+0.09)</f>
        <v>5671605.7538783988</v>
      </c>
      <c r="D88">
        <f>D86*(D76+D77+0.09)</f>
        <v>5906236.166748751</v>
      </c>
      <c r="E88">
        <f>E86*(E76+E77+0.09)</f>
        <v>6413786.9603753118</v>
      </c>
      <c r="F88">
        <f>F86*(F76+F77+0.09)</f>
        <v>7114129.6022569714</v>
      </c>
      <c r="G88">
        <f>G86*(G76+G77+0.09)</f>
        <v>7943425.7165269898</v>
      </c>
    </row>
    <row r="89" spans="2:7" ht="15" customHeight="1" outlineLevel="1" x14ac:dyDescent="0.25">
      <c r="B89" s="30" t="s">
        <v>56</v>
      </c>
      <c r="C89">
        <f>C87-C88</f>
        <v>860398.3960992014</v>
      </c>
      <c r="D89">
        <f>D87-D88</f>
        <v>1084056.0052893292</v>
      </c>
      <c r="E89">
        <f>E87-E88</f>
        <v>1390691.6710198894</v>
      </c>
      <c r="F89">
        <f>F87-F88</f>
        <v>1790310.7608328806</v>
      </c>
      <c r="G89">
        <f>G87-G88</f>
        <v>2288783.6810332006</v>
      </c>
    </row>
    <row r="90" spans="2:7" ht="15" customHeight="1" outlineLevel="1" x14ac:dyDescent="0.25">
      <c r="B90" s="30" t="s">
        <v>114</v>
      </c>
      <c r="C90">
        <f>C89/C86</f>
        <v>9.8000000000000156E-2</v>
      </c>
      <c r="D90">
        <f>D89/D86</f>
        <v>0.11600000000000014</v>
      </c>
      <c r="E90">
        <f>E89/E86</f>
        <v>0.13399999999999998</v>
      </c>
      <c r="F90">
        <f>F89/F86</f>
        <v>0.15200000000000002</v>
      </c>
      <c r="G90">
        <f>G89/G86</f>
        <v>0.17</v>
      </c>
    </row>
    <row r="91" spans="2:7" ht="15" customHeight="1" outlineLevel="1" x14ac:dyDescent="0.25">
      <c r="B91" s="30" t="s">
        <v>63</v>
      </c>
      <c r="C91">
        <f>(C89-C86*0.02-Model!C36)*(1-Inputs!G7)</f>
        <v>475580.16501840099</v>
      </c>
      <c r="D91">
        <f>(D89-D86*0.02-Model!C36)*(1-Inputs!G7)</f>
        <v>634837.3481106183</v>
      </c>
      <c r="E91">
        <f>(E89-E86*0.02-Model!C36)*(1-Inputs!G7)</f>
        <v>849319.31247910846</v>
      </c>
      <c r="F91">
        <f>(F89-F86*0.02-Model!C36)*(1-Inputs!G7)</f>
        <v>1128032.6665951</v>
      </c>
      <c r="G91">
        <f>(G89-G86*0.02-Model!C36)*(1-Inputs!G7)</f>
        <v>1476611.2595072652</v>
      </c>
    </row>
  </sheetData>
  <mergeCells count="1">
    <mergeCell ref="B2:C2"/>
  </mergeCells>
  <pageMargins left="0.75" right="0.75" top="1" bottom="1" header="0.511811023622047" footer="0.511811023622047"/>
  <pageSetup paperSize="9" orientation="portrait" horizontalDpi="300" verticalDpi="30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ED7D31"/>
  </sheetPr>
  <dimension ref="A1:B5"/>
  <sheetViews>
    <sheetView zoomScaleNormal="100" workbookViewId="0"/>
  </sheetViews>
  <sheetFormatPr defaultColWidth="8.7109375" defaultRowHeight="15" customHeight="1" x14ac:dyDescent="0.25"/>
  <cols>
    <col min="1" max="1" width="14" customWidth="1"/>
    <col min="2" max="2" width="15.28515625" customWidth="1"/>
  </cols>
  <sheetData>
    <row r="1" spans="1:2" ht="24" x14ac:dyDescent="0.4">
      <c r="A1" s="19" t="s">
        <v>95</v>
      </c>
    </row>
    <row r="2" spans="1:2" ht="18.75" x14ac:dyDescent="0.3">
      <c r="A2" s="20" t="s">
        <v>74</v>
      </c>
    </row>
    <row r="4" spans="1:2" x14ac:dyDescent="0.25">
      <c r="A4" s="21" t="s">
        <v>75</v>
      </c>
      <c r="B4" s="22" t="s">
        <v>102</v>
      </c>
    </row>
    <row r="5" spans="1:2" ht="15" customHeight="1" x14ac:dyDescent="0.25">
      <c r="B5" t="s">
        <v>103</v>
      </c>
    </row>
  </sheetData>
  <pageMargins left="0.75" right="0.75" top="1" bottom="1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Excel U</vt:lpstr>
      <vt:lpstr>Inputs</vt:lpstr>
      <vt:lpstr>Model</vt:lpstr>
      <vt:lpstr>Exercise1</vt:lpstr>
      <vt:lpstr>Exercise2</vt:lpstr>
      <vt:lpstr>Scenarios</vt:lpstr>
      <vt:lpstr>Exercise3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>Jeff Lenning</cp:lastModifiedBy>
  <cp:revision>0</cp:revision>
  <dcterms:created xsi:type="dcterms:W3CDTF">2026-02-23T21:51:16Z</dcterms:created>
  <dcterms:modified xsi:type="dcterms:W3CDTF">2026-03-04T15:39:15Z</dcterms:modified>
  <dc:language>en-US</dc:language>
</cp:coreProperties>
</file>